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730" windowHeight="9360" tabRatio="895" activeTab="4"/>
  </bookViews>
  <sheets>
    <sheet name=" BGT per unità PI" sheetId="1" r:id="rId1"/>
    <sheet name=" BGT per unità locale n 1" sheetId="2" r:id="rId2"/>
    <sheet name=" BGT per unità locale n 2" sheetId="3" r:id="rId3"/>
    <sheet name=" BGT per unità locale n 3" sheetId="4" r:id="rId4"/>
    <sheet name="Parte A n.11 Costo complessivo" sheetId="5" r:id="rId5"/>
    <sheet name="Assegni di Ricerca" sheetId="6" r:id="rId6"/>
    <sheet name="Borse di Dottorato" sheetId="7" r:id="rId7"/>
    <sheet name="Ricercatori t. det. L240" sheetId="8" r:id="rId8"/>
    <sheet name="Pers. Doc assunto ante L240" sheetId="9" r:id="rId9"/>
    <sheet name="Pers. Doc assunto post L24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<sst xmlns="http://schemas.openxmlformats.org/spreadsheetml/2006/main" count="2627" uniqueCount="313">
  <si>
    <t>voce</t>
  </si>
  <si>
    <t>importo</t>
  </si>
  <si>
    <t>B</t>
  </si>
  <si>
    <t>C</t>
  </si>
  <si>
    <t>D</t>
  </si>
  <si>
    <t>E</t>
  </si>
  <si>
    <t>F</t>
  </si>
  <si>
    <t>TOTALE</t>
  </si>
  <si>
    <t>RU</t>
  </si>
  <si>
    <t>PA</t>
  </si>
  <si>
    <t>PO</t>
  </si>
  <si>
    <t>Tabella Voci Stipendiali (valori annui) Docenti - con incremento 2,82% (dal 01/01/2005)</t>
  </si>
  <si>
    <t>Ru.</t>
  </si>
  <si>
    <t>Qualifica</t>
  </si>
  <si>
    <t>Classe</t>
  </si>
  <si>
    <t>Tempo</t>
  </si>
  <si>
    <t>Inquadramento</t>
  </si>
  <si>
    <t>Inquadramento CSA</t>
  </si>
  <si>
    <t>Stipendio</t>
  </si>
  <si>
    <t>Val. Cl.</t>
  </si>
  <si>
    <t>I.I.S.</t>
  </si>
  <si>
    <t>Ass. Agg.</t>
  </si>
  <si>
    <t>XIII</t>
  </si>
  <si>
    <t>I.I.S. XIII</t>
  </si>
  <si>
    <t>Lordo</t>
  </si>
  <si>
    <t>Irap</t>
  </si>
  <si>
    <t>Tes. C.E.</t>
  </si>
  <si>
    <t>Add. Tes. C.E.</t>
  </si>
  <si>
    <t>O.P. C.E.</t>
  </si>
  <si>
    <t>Totale</t>
  </si>
  <si>
    <t>Straord.</t>
  </si>
  <si>
    <t>definito</t>
  </si>
  <si>
    <t>Straord. TD classe 0</t>
  </si>
  <si>
    <t>Prof.Straord.  - tempo definito</t>
  </si>
  <si>
    <t>pieno</t>
  </si>
  <si>
    <t>Straord. classe 0</t>
  </si>
  <si>
    <t>Prof.Straord.  - tempo pieno</t>
  </si>
  <si>
    <t>Ordin.</t>
  </si>
  <si>
    <t>PO TD classe 0</t>
  </si>
  <si>
    <t>PO classe 0</t>
  </si>
  <si>
    <t>PO TD classe 1</t>
  </si>
  <si>
    <t>PO classe 1</t>
  </si>
  <si>
    <t>PO TD classe 2</t>
  </si>
  <si>
    <t>PO classe 2</t>
  </si>
  <si>
    <t>Prof.Ordinario - tempo pieno -I prog.econ.- classe II</t>
  </si>
  <si>
    <t>PO TD classe 3</t>
  </si>
  <si>
    <t>PO classe 3</t>
  </si>
  <si>
    <t>Prof.Ordinario - tempo pieno -I prog.econ.- classe III</t>
  </si>
  <si>
    <t>PO TD classe 4</t>
  </si>
  <si>
    <t>PO classe 4</t>
  </si>
  <si>
    <t>Prof.Ordinario - tempo pieno -I prog.econ.- classe IV</t>
  </si>
  <si>
    <t>PO TD classe 5</t>
  </si>
  <si>
    <t>PO classe 5</t>
  </si>
  <si>
    <t>Prof.Ordinario - tempo pieno -I prog.econ.- classe V</t>
  </si>
  <si>
    <t>PO TD classe 6</t>
  </si>
  <si>
    <t>Prof.Ordinario - tempo definito - classe VI</t>
  </si>
  <si>
    <t>PO classe 6</t>
  </si>
  <si>
    <t>Prof.Ordinario - tempo pieno -I prog.econ.- classe VI</t>
  </si>
  <si>
    <t>PO classe 7</t>
  </si>
  <si>
    <t>Prof.Ordinario - tempo pieno -II prog.econ.-classe VII</t>
  </si>
  <si>
    <t>PO classe 8</t>
  </si>
  <si>
    <t>Prof.Ordinario - tempo pieno -II prog.econ.-classe VIII</t>
  </si>
  <si>
    <t>PO classe 9</t>
  </si>
  <si>
    <t>Prof.Ordinario - tempo pieno -II prog.econ.-classe IX</t>
  </si>
  <si>
    <t>PO classe 10</t>
  </si>
  <si>
    <t>Prof.Ordinario - tempo pieno -II prog.econ.-classe X</t>
  </si>
  <si>
    <t>PO classe 11</t>
  </si>
  <si>
    <t>Prof.Ordinario - tempo pieno -II prog.econ.-classe XI</t>
  </si>
  <si>
    <t>PO classe 12</t>
  </si>
  <si>
    <t>Prof.Ordinario - tempo pieno -II prog.econ.-classe XII</t>
  </si>
  <si>
    <t>PO classe 13</t>
  </si>
  <si>
    <t>Prof.Ordinario - tempo pieno -II prog.econ.-classe XIII</t>
  </si>
  <si>
    <t>PO classe 14</t>
  </si>
  <si>
    <t>Prof.Ordinario - tempo pieno -II prog.econ.-classe XIV</t>
  </si>
  <si>
    <t>Ass.Non C.</t>
  </si>
  <si>
    <t>PA TD n.c. classe 0</t>
  </si>
  <si>
    <t>Prof.Associato - tempo definito - non confermato</t>
  </si>
  <si>
    <t>PA n.c. classe 0</t>
  </si>
  <si>
    <t>Prof.Associato - tempo pieno - non confermato</t>
  </si>
  <si>
    <t>Ass.Conf.</t>
  </si>
  <si>
    <t>PA TD confermato classe 0</t>
  </si>
  <si>
    <t>PA confermato classe 0</t>
  </si>
  <si>
    <t>Prof.Associato - tempo pieno - I prog.econ.- classe 0</t>
  </si>
  <si>
    <t>PA TD confermato classe 1</t>
  </si>
  <si>
    <t>PA confermato classe 1</t>
  </si>
  <si>
    <t>PA TD confermato classe 2</t>
  </si>
  <si>
    <t>PA confermato classe 2</t>
  </si>
  <si>
    <t>Prof.Associato - tempo pieno - I prog.econ.- classe II</t>
  </si>
  <si>
    <t>PA TD confermato classe 3</t>
  </si>
  <si>
    <t>Prof.Associato - tempo definito - classe III</t>
  </si>
  <si>
    <t>PA confermato classe 3</t>
  </si>
  <si>
    <t>Prof.Associato - tempo pieno - I prog.econ.- classe III</t>
  </si>
  <si>
    <t>PA TD confermato classe 4</t>
  </si>
  <si>
    <t>PA confermato classe 4</t>
  </si>
  <si>
    <t>Prof.Associato - tempo pieno - I prog.econ.- classe IV</t>
  </si>
  <si>
    <t>PA TD confermato classe 5</t>
  </si>
  <si>
    <t>PA confermato classe 5</t>
  </si>
  <si>
    <t>Prof.Associato - tempo pieno - I prog.econ.- classe V</t>
  </si>
  <si>
    <t>PA TD confermato classe 6</t>
  </si>
  <si>
    <t>Prof.Associato - tempo definito - classe VI</t>
  </si>
  <si>
    <t>PA confermato classe 6</t>
  </si>
  <si>
    <t>Prof.Associato - tempo pieno - I prog.econ.- classe VI</t>
  </si>
  <si>
    <t>PA confermato classe 7</t>
  </si>
  <si>
    <t>Prof.Associato - tempo pieno -II prog.econ.- classe VII</t>
  </si>
  <si>
    <t>PA confermato classe 8</t>
  </si>
  <si>
    <t>Prof.Associato - tempo pieno -II prog.econ.- classe VIII</t>
  </si>
  <si>
    <t>PA confermato classe 9</t>
  </si>
  <si>
    <t>Prof.Associato - tempo pieno -II prog.econ.- classe IX</t>
  </si>
  <si>
    <t>PA confermato classe 10</t>
  </si>
  <si>
    <t>Prof.Associato - tempo pieno -II prog.econ.- classe X</t>
  </si>
  <si>
    <t>PA confermato classe 11</t>
  </si>
  <si>
    <t>Prof.Associato - tempo pieno -II prog.econ.- classe XI</t>
  </si>
  <si>
    <t>PA confermato classe 12</t>
  </si>
  <si>
    <t>Prof.Associato - tempo pieno -II prog.econ.- classe XII</t>
  </si>
  <si>
    <t>PA confermato classe 13</t>
  </si>
  <si>
    <t>Prof.Associato - tempo pieno -II prog.econ.- classe XIII</t>
  </si>
  <si>
    <t>PA confermato classe 14</t>
  </si>
  <si>
    <t>Prof.Associato - tempo pieno -II prog.econ.- classe XIV</t>
  </si>
  <si>
    <t>Non Conf.</t>
  </si>
  <si>
    <t>all'assunzione</t>
  </si>
  <si>
    <t>RU non confermato</t>
  </si>
  <si>
    <t>Ricercatore non confermato</t>
  </si>
  <si>
    <t>dopo 1 anno di servizio (L. 43/2005)</t>
  </si>
  <si>
    <t>Conferm.</t>
  </si>
  <si>
    <t>RU confermato TD classe 0</t>
  </si>
  <si>
    <t>Ricercatore - tempo definito - classe 0</t>
  </si>
  <si>
    <t>RU confermato classe 0</t>
  </si>
  <si>
    <t>Ricercatore - tempo pieno - I prog.econ. - classe 0</t>
  </si>
  <si>
    <t>RU confermato TD classe 1</t>
  </si>
  <si>
    <t>RU confermato classe 1</t>
  </si>
  <si>
    <t>Ricercatore - tempo pieno - I prog.econ. - classe I</t>
  </si>
  <si>
    <t>RU confermato TD classe 2</t>
  </si>
  <si>
    <t>RU confermato classe 2</t>
  </si>
  <si>
    <t>Ricercatore - tempo pieno - I prog.econ. - classe II</t>
  </si>
  <si>
    <t>RU confermato TD classe 3</t>
  </si>
  <si>
    <t>RU confermato classe 3</t>
  </si>
  <si>
    <t>Ricercatore - tempo pieno - I prog.econ. - classe III</t>
  </si>
  <si>
    <t>RU confermato TD classe 4</t>
  </si>
  <si>
    <t>Ricercatore - tempo definito - classe IV</t>
  </si>
  <si>
    <t>RU confermato classe 4</t>
  </si>
  <si>
    <t>Ricercatore - tempo pieno - I prog.econ. - classe IV</t>
  </si>
  <si>
    <t>RU confermato TD classe 5</t>
  </si>
  <si>
    <t>RU confermato classe 5</t>
  </si>
  <si>
    <t>Ricercatore - tempo pieno - I prog.econ. - classe V</t>
  </si>
  <si>
    <t>RU confermato TD classe 6</t>
  </si>
  <si>
    <t>Ricercatore - tempo definito - classe VI</t>
  </si>
  <si>
    <t>RU confermato classe 6</t>
  </si>
  <si>
    <t>Ricercatore - tempo pieno - I prog.econ. - classe VI</t>
  </si>
  <si>
    <t>RU confermato classe 7</t>
  </si>
  <si>
    <t>Ricercatore - tempo pieno - II prog.econ.- classe VII</t>
  </si>
  <si>
    <t>RU confermato classe 8</t>
  </si>
  <si>
    <t>Ricercatore - tempo pieno - II prog.econ.- classe VIII</t>
  </si>
  <si>
    <t>RU confermato classe 9</t>
  </si>
  <si>
    <t>Ricercatore - tempo pieno - II prog.econ.- classe IX</t>
  </si>
  <si>
    <t>RU confermato classe 10</t>
  </si>
  <si>
    <t>Ricercatore - tempo pieno - II prog.econ.- classe X</t>
  </si>
  <si>
    <t>RU confermato classe 11</t>
  </si>
  <si>
    <t>Ricercatore - tempo pieno - II prog.econ.- classe XI</t>
  </si>
  <si>
    <t>RU confermato classe 12</t>
  </si>
  <si>
    <t>Ricercatore - tempo pieno - II prog.econ.- classe XII</t>
  </si>
  <si>
    <t>RU confermato classe 13</t>
  </si>
  <si>
    <t>Ricercatore - tempo pieno - II prog.econ.- classe XIII</t>
  </si>
  <si>
    <t>RU confermato classe 14</t>
  </si>
  <si>
    <t>Ricercatore - tempo pieno - II prog.econ.- classe XIV</t>
  </si>
  <si>
    <t>P.S. L'aumento del 2,82% va ad incidere su tutte le voci, esclusa quella dell'Assegno</t>
  </si>
  <si>
    <t>Tabella Voci Stipendiali (valori annui) Docenti - con incremento 2,23% (dal 01/01/2006)</t>
  </si>
  <si>
    <t>Tabella Voci Stipendiali (valori annui) Docenti - con incremento 4,28% (dal 01/01/2007)</t>
  </si>
  <si>
    <t>Ruolo</t>
  </si>
  <si>
    <t>Tabella Voci Stipendiali (valori annui) Docenti - con incremento 1,77% (dal 01/01/2008)</t>
  </si>
  <si>
    <t>Tabella Voci Stipendiali (valori annui) Docenti - con incremento 3,77% (dal 01/01/2009)</t>
  </si>
  <si>
    <t>Costo totale annuo per l'Ateneo</t>
  </si>
  <si>
    <t>Lordo percipiente</t>
  </si>
  <si>
    <t>Totale oneri prev.</t>
  </si>
  <si>
    <t>G=(A+B+F)</t>
  </si>
  <si>
    <t>A</t>
  </si>
  <si>
    <t>F= (C+D+E)</t>
  </si>
  <si>
    <t>Straordinario</t>
  </si>
  <si>
    <t>Ordinario</t>
  </si>
  <si>
    <t xml:space="preserve">PA </t>
  </si>
  <si>
    <r>
      <t xml:space="preserve">dopo 1 anno di servizio          </t>
    </r>
    <r>
      <rPr>
        <sz val="8"/>
        <rFont val="Arial"/>
        <family val="2"/>
      </rPr>
      <t xml:space="preserve">  (D. Lgs n°19 del 2012 art. 16)</t>
    </r>
  </si>
  <si>
    <r>
      <t xml:space="preserve">Tabella Voci Stipendiali (valori annui) Docenti - </t>
    </r>
    <r>
      <rPr>
        <b/>
        <sz val="11"/>
        <color indexed="10"/>
        <rFont val="Arial"/>
        <family val="2"/>
      </rPr>
      <t xml:space="preserve">Assunti dopo l'entrata in vigore della Legge 240/2010  </t>
    </r>
  </si>
  <si>
    <t>Associato</t>
  </si>
  <si>
    <t>Associato TD classe 0</t>
  </si>
  <si>
    <t>Associato classe 0</t>
  </si>
  <si>
    <t>Associato TD classe 1</t>
  </si>
  <si>
    <t>Associato classe 1</t>
  </si>
  <si>
    <t>Associato TD classe 2</t>
  </si>
  <si>
    <t>Associato classe 2</t>
  </si>
  <si>
    <t>Associato TD classe 3</t>
  </si>
  <si>
    <t>Associato classe 3</t>
  </si>
  <si>
    <t>Associato TD classe 4</t>
  </si>
  <si>
    <t>Associato classe 4</t>
  </si>
  <si>
    <t>Associato TD classe 5</t>
  </si>
  <si>
    <t>Associato classe 5</t>
  </si>
  <si>
    <t>Associato TD classe 6</t>
  </si>
  <si>
    <t>Associato classe 6</t>
  </si>
  <si>
    <t>Associato TD classe 7</t>
  </si>
  <si>
    <t>Associato classe 7</t>
  </si>
  <si>
    <t>Associato TD classe 8</t>
  </si>
  <si>
    <t>Associato classe 8</t>
  </si>
  <si>
    <t>Associato TD classe 9</t>
  </si>
  <si>
    <t>Associato classe 9</t>
  </si>
  <si>
    <t>Associato TD classe 10</t>
  </si>
  <si>
    <t>Associato classe 10</t>
  </si>
  <si>
    <t>Associato TD classe 11</t>
  </si>
  <si>
    <t>Associato classe 11</t>
  </si>
  <si>
    <t>Associato TD classe 12</t>
  </si>
  <si>
    <t>Associato classe 12</t>
  </si>
  <si>
    <t>PO TD classe 7</t>
  </si>
  <si>
    <t>PO TD classe 8</t>
  </si>
  <si>
    <t>PO TD classe 9</t>
  </si>
  <si>
    <t>PO TD classe 10</t>
  </si>
  <si>
    <t>PO TD classe 11</t>
  </si>
  <si>
    <t>Assegno aggiuntivo</t>
  </si>
  <si>
    <t>I.I.S XIII</t>
  </si>
  <si>
    <t>Tot. Lordo percipiente</t>
  </si>
  <si>
    <t>c/ente tesoro</t>
  </si>
  <si>
    <t>add.le tesoro C. E</t>
  </si>
  <si>
    <t>c/ente disoccupazione</t>
  </si>
  <si>
    <t>c/ente tfr opera previdenza</t>
  </si>
  <si>
    <t>Tot. Oneri prev.</t>
  </si>
  <si>
    <t>H=(A+F+G)</t>
  </si>
  <si>
    <t>F=(B+C+D+E)</t>
  </si>
  <si>
    <t>G</t>
  </si>
  <si>
    <t xml:space="preserve">Ricercatori L.240/10 Art. 24 c.3 lett. A - Tempo Definito </t>
  </si>
  <si>
    <t>Ricercatori L.240/10 Art. 24 c.3 lett. A - Tempo Pieno</t>
  </si>
  <si>
    <t>Ricercatori L.240/10 Art. 24 c.3 lett. B - Tempo Pieno</t>
  </si>
  <si>
    <t>Ricercatori L.240/10 Art. 24 c.3 lett. B - Tempo Pieno + 3%</t>
  </si>
  <si>
    <t>Ricercatori L.240/10 Art. 24 c.3 lett. B - Tempo Pieno + 20%</t>
  </si>
  <si>
    <t>Ricercatori L.240/10 Art. 24 c.3 lett. B - Tempo Pieno + 25%</t>
  </si>
  <si>
    <t>Ricercatori L.240/10 Art. 24 c.3 lett. B - Tempo Pieno + 30%</t>
  </si>
  <si>
    <r>
      <t>NB.</t>
    </r>
    <r>
      <rPr>
        <b/>
        <sz val="10"/>
        <color indexed="12"/>
        <rFont val="Arial"/>
        <family val="2"/>
      </rPr>
      <t xml:space="preserve"> Per gli Inquadramenti lett. B Tempo Pieno + 20% e + 25% il Costo totale annuo potrebbe risultare leggermente inferiore causa adeguamenti degli oneri  previdenziali a carico Ente.</t>
    </r>
  </si>
  <si>
    <r>
      <t>Costo totale per l'Ateneo                               (</t>
    </r>
    <r>
      <rPr>
        <b/>
        <sz val="10"/>
        <color indexed="10"/>
        <rFont val="Arial"/>
        <family val="2"/>
      </rPr>
      <t>valore triennale</t>
    </r>
    <r>
      <rPr>
        <b/>
        <sz val="10"/>
        <color indexed="12"/>
        <rFont val="Arial"/>
        <family val="2"/>
      </rPr>
      <t>)</t>
    </r>
  </si>
  <si>
    <t>Costo unitario borsa</t>
  </si>
  <si>
    <t xml:space="preserve">Previsione contributo INPS carico Ente </t>
  </si>
  <si>
    <t>Eventuale maggiorazione per periodo all'estero (su max. 12 mesi)</t>
  </si>
  <si>
    <t>Previsione contributo INPS carico Ente sull'eventuale maggiorazione per periodo all'estero</t>
  </si>
  <si>
    <t>Finanziamento attività di ricerca in Italia e all'Estero pari al 10% dell'importo della borsa (riferito al 2° e 3° anno)</t>
  </si>
  <si>
    <t>descrizione</t>
  </si>
  <si>
    <t>Note:</t>
  </si>
  <si>
    <t>Legenda:</t>
  </si>
  <si>
    <t>LEGENDA:</t>
  </si>
  <si>
    <r>
      <rPr>
        <b/>
        <sz val="10"/>
        <rFont val="Arial"/>
        <family val="2"/>
      </rPr>
      <t xml:space="preserve">grigio: </t>
    </r>
    <r>
      <rPr>
        <sz val="10"/>
        <rFont val="Arial"/>
        <family val="2"/>
      </rPr>
      <t>campi fissi non compilabili</t>
    </r>
  </si>
  <si>
    <r>
      <rPr>
        <b/>
        <sz val="10"/>
        <rFont val="Arial"/>
        <family val="2"/>
      </rPr>
      <t>verde:</t>
    </r>
    <r>
      <rPr>
        <sz val="10"/>
        <rFont val="Arial"/>
        <family val="2"/>
      </rPr>
      <t xml:space="preserve"> campi compilabili</t>
    </r>
  </si>
  <si>
    <t>importi</t>
  </si>
  <si>
    <t>% inps a carico dell'ateneo e dell'assegnista</t>
  </si>
  <si>
    <t>IMPORTO lordo imponibile</t>
  </si>
  <si>
    <t>ALIQUOTA INPS 2/3 A CARICO ENTE</t>
  </si>
  <si>
    <t>==</t>
  </si>
  <si>
    <t>TRATTENUTA INPS 1/3 A CARICO ASSEGNISTA</t>
  </si>
  <si>
    <t>TOTALE COSTO LORDO ENTE</t>
  </si>
  <si>
    <t>IMPORTO NETTO ANNUO ASSEGNISTA</t>
  </si>
  <si>
    <t>IMPORTO mensile ASSEGNISTA</t>
  </si>
  <si>
    <t xml:space="preserve">aliquota inps totale in % applicabile </t>
  </si>
  <si>
    <t>aliquota inps totale in %</t>
  </si>
  <si>
    <t>STANZIAMENTO TOTALE SUL CAPITOLO</t>
  </si>
  <si>
    <t>ASSEGNI SU PROGETTO SPECIFICO</t>
  </si>
  <si>
    <t>aliquota piena</t>
  </si>
  <si>
    <t>aliquota ridotta (iscritto ad altra cassa)</t>
  </si>
  <si>
    <t>ASSEGNO SU PROGETTO SPECIFICO CON IMPORTO MINIMO</t>
  </si>
  <si>
    <t>ASSEGNO SU PROGETTO SPECIFICO CON IMPORTO 'LIBERO' SUPERIORE AL MINIMO</t>
  </si>
  <si>
    <t xml:space="preserve">in base al DM 102/2011 l'importo minimo per gli assegni di ricerca  è fissato a  19.367,00 €/anno  lordo percipiente </t>
  </si>
  <si>
    <t xml:space="preserve">su cui l'assegnista paga 1/3 degli oneri  </t>
  </si>
  <si>
    <t>Tot. Costo progetto</t>
  </si>
  <si>
    <t>A1**</t>
  </si>
  <si>
    <t>A2.1**</t>
  </si>
  <si>
    <t>SUB- TOTALE</t>
  </si>
  <si>
    <r>
      <t xml:space="preserve">Borse di Dottorato di Ricerca  - </t>
    </r>
    <r>
      <rPr>
        <b/>
        <sz val="11"/>
        <color indexed="10"/>
        <rFont val="Arial"/>
        <family val="2"/>
      </rPr>
      <t>Anno 2017</t>
    </r>
  </si>
  <si>
    <t>Triennio 2018-2021                                             (a.a.2018/2019 - a.a 2019/2020  - a.a. 2020/2021)  34° ciclo</t>
  </si>
  <si>
    <r>
      <t xml:space="preserve">Previsione Costo Borsa di studio Dottorato di Ricerca  </t>
    </r>
    <r>
      <rPr>
        <b/>
        <sz val="10"/>
        <color indexed="12"/>
        <rFont val="Arial"/>
        <family val="2"/>
      </rPr>
      <t xml:space="preserve"> 3 Anni</t>
    </r>
  </si>
  <si>
    <r>
      <t>Costo totale per l'Ateneo                               (</t>
    </r>
    <r>
      <rPr>
        <b/>
        <sz val="10"/>
        <color indexed="10"/>
        <rFont val="Arial"/>
        <family val="2"/>
      </rPr>
      <t>valore quadriennale</t>
    </r>
    <r>
      <rPr>
        <b/>
        <sz val="10"/>
        <color indexed="12"/>
        <rFont val="Arial"/>
        <family val="2"/>
      </rPr>
      <t>)</t>
    </r>
  </si>
  <si>
    <t>Finanziamento attività di ricerca in Italia e all'Estero pari al 10% dell'importo della borsa (riferito al 2°, 3° e 4° anno)</t>
  </si>
  <si>
    <r>
      <t xml:space="preserve">Previsione Costo Borsa di studio Dottorato di Ricerca  </t>
    </r>
    <r>
      <rPr>
        <b/>
        <sz val="10"/>
        <color indexed="12"/>
        <rFont val="Arial"/>
        <family val="2"/>
      </rPr>
      <t>4 anni</t>
    </r>
  </si>
  <si>
    <r>
      <t xml:space="preserve">Ricercatori Tempo Determinato L. 240/2010 - </t>
    </r>
    <r>
      <rPr>
        <b/>
        <sz val="11"/>
        <color indexed="10"/>
        <rFont val="Arial"/>
        <family val="2"/>
      </rPr>
      <t>Attualmente in vigore</t>
    </r>
  </si>
  <si>
    <r>
      <t xml:space="preserve">Tabella Voci Stipendiali (valori annui) </t>
    </r>
    <r>
      <rPr>
        <b/>
        <sz val="11"/>
        <color indexed="10"/>
        <rFont val="Arial"/>
        <family val="2"/>
      </rPr>
      <t xml:space="preserve">Docenti  assunti prima dell'entrata in vigore della L. 240/2010        </t>
    </r>
  </si>
  <si>
    <r>
      <t xml:space="preserve">PS. Nel caso di verifica su cedolino stipendiale di nuovo Inquadramento ai sensi del </t>
    </r>
    <r>
      <rPr>
        <b/>
        <sz val="11"/>
        <color indexed="10"/>
        <rFont val="Arial"/>
        <family val="2"/>
      </rPr>
      <t xml:space="preserve">D.P.R.  N° 232/2011, </t>
    </r>
    <r>
      <rPr>
        <b/>
        <sz val="11"/>
        <color indexed="12"/>
        <rFont val="Arial"/>
        <family val="2"/>
      </rPr>
      <t xml:space="preserve">(procedura di Revisione del trattamento economico dei professori e ricercatori) è necessario rivolgersi per il calcolo del costo direttamente all'Ufficio  ABiF - Ufficio Trattamenti economici :  bilancio.stipendi@unive.it </t>
    </r>
  </si>
  <si>
    <t>***  Il costo sarà commisurato all’importo di fattura più dazi doganali, trasporto, imballo ed eventuale montaggio. L'importo dovrà essere corretto in base ai criteri dell'ammortamento e all'eventuale impiego dell'attrezzatura su più progetti.</t>
  </si>
  <si>
    <t>In questa voce verranno incluse le attrezzature e le strumentazioni ed il software di nuovo acquisto. Applicare il criterio dell'ammortamento***</t>
  </si>
  <si>
    <t>Modello per unità PI</t>
  </si>
  <si>
    <t>Unità di ricerca</t>
  </si>
  <si>
    <t>A.1</t>
  </si>
  <si>
    <t>A.2</t>
  </si>
  <si>
    <t>Unità PI</t>
  </si>
  <si>
    <t>Unità locale 1</t>
  </si>
  <si>
    <t>Unità locale 2</t>
  </si>
  <si>
    <t>TOT. Costo  di progetto</t>
  </si>
  <si>
    <t>Contributo MIUR</t>
  </si>
  <si>
    <t>Unità locale 3</t>
  </si>
  <si>
    <t>F (quota premiale)</t>
  </si>
  <si>
    <t xml:space="preserve">l'aliquota INPS è cresciuta ogni anno di 0,20% fino al 2006, successivamente del 1% annuo. Nel 2017, a partire dal 1° luglio c'è stato un ulteriore incremento pari allo 0,51%, </t>
  </si>
  <si>
    <t>pertanto l'aliquota è passata dal 32,72% al 33,23%.</t>
  </si>
  <si>
    <t>Nel 2018 è stata fissata al 34,23 %  e 24% per regimi pensionistici aliquota ridotta</t>
  </si>
  <si>
    <t>aggiornamento al 09/01/2018</t>
  </si>
  <si>
    <t>** I costi relativi al personale utili a valorizzare i campi A1 e A2.1 sono riportati nei fogli successivi suddivisi per ruolo/tipologia di contratto.  NB: gli importi si riferiscono ai dati più aggiornati in possesso al momento della pubblicazione. Sono passibili di eventuali scostamenti.
Non sono ammessi eventuali compensi aggiuntivi o pagamenti per straordinari/diarie.</t>
  </si>
  <si>
    <t>IMPORTI PER GLI ASSEGNI DI RICERCA 2018</t>
  </si>
  <si>
    <t xml:space="preserve">TOTALE </t>
  </si>
  <si>
    <r>
      <rPr>
        <sz val="9"/>
        <color indexed="8"/>
        <rFont val="Calibri"/>
        <family val="2"/>
      </rPr>
      <t xml:space="preserve">Questa tabella può essere utilizzata per costruire il budget dell'unità del PI. Fogli di lavoro successivi possono essere usati (e aggiunti in base alle necessità) per eventuali unità locali. </t>
    </r>
    <r>
      <rPr>
        <sz val="9"/>
        <color indexed="8"/>
        <rFont val="Calibri"/>
        <family val="2"/>
      </rPr>
      <t xml:space="preserve">
Il PI dovrà aver cura di raccogliere i singoli budget delle unità coinvolte per poter compilare la </t>
    </r>
    <r>
      <rPr>
        <b/>
        <sz val="9"/>
        <color indexed="8"/>
        <rFont val="Calibri"/>
        <family val="2"/>
      </rPr>
      <t>tabella al punto 11 parte A</t>
    </r>
    <r>
      <rPr>
        <sz val="9"/>
        <color indexed="8"/>
        <rFont val="Calibri"/>
        <family val="2"/>
      </rPr>
      <t xml:space="preserve"> del formulario online.
NB: la quota forfettaria premiale di cui alla voce F è calcolata in automatico dal sistema e corrisponde al 3% del costo totale di progetto
</t>
    </r>
  </si>
  <si>
    <t>3% del costo di progetto. Il sistema calcola l'importo in automatico una volta inseriti tutti i costi  delle unità coinvolte</t>
  </si>
  <si>
    <r>
      <t xml:space="preserve">contratti a tempo </t>
    </r>
    <r>
      <rPr>
        <b/>
        <sz val="9"/>
        <color indexed="8"/>
        <rFont val="Calibri"/>
        <family val="2"/>
      </rPr>
      <t>determinato,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assegni di ricerca</t>
    </r>
    <r>
      <rPr>
        <sz val="9"/>
        <color indexed="8"/>
        <rFont val="Calibri"/>
        <family val="2"/>
      </rPr>
      <t xml:space="preserve">, </t>
    </r>
    <r>
      <rPr>
        <b/>
        <sz val="9"/>
        <color indexed="8"/>
        <rFont val="Calibri"/>
        <family val="2"/>
      </rPr>
      <t>borse di dottorato</t>
    </r>
    <r>
      <rPr>
        <sz val="9"/>
        <color indexed="8"/>
        <rFont val="Calibri"/>
        <family val="2"/>
      </rPr>
      <t xml:space="preserve"> da reclutare per l'esecuzione del progetto. I bandi possono essere emessi all'approvazione del progetto e partire in concomitanza con il suo avvio (determinato in 90 gg dopo pubblicazione decreto assegnatari)</t>
    </r>
  </si>
  <si>
    <r>
      <t xml:space="preserve">60% del costo di personale. La quota si riferisce a costi indiretti, comunque connessi con l’attività di ricerca e non collocabili nelle altre voci di spesa.NB: la quota dovrà essere utilizzata altresì per coprire i costi delle </t>
    </r>
    <r>
      <rPr>
        <b/>
        <sz val="9"/>
        <color indexed="8"/>
        <rFont val="Calibri"/>
        <family val="2"/>
      </rPr>
      <t>missioni sul territorio nazionale</t>
    </r>
    <r>
      <rPr>
        <sz val="9"/>
        <color indexed="8"/>
        <rFont val="Calibri"/>
        <family val="2"/>
      </rPr>
      <t>, costi di pubblicazione diverse da quelle previste in voce E, costi per open access, manutenzione attrezzatture scientifiche.</t>
    </r>
  </si>
  <si>
    <t>attività svolte da terzi affidatari per Consulenze scientifiche e/o collaborazioni scientifiche; Prestazioni di servizi di tipo non scientifico; Acquisizione di brevetti, know‐how, diritti di licenza. Il loro costo sarà determinato in base alla fattura al lordo dell’IVA. NB: se trattasi di azienda convenzionata dovrà comunque emettere fattura e non dovrà compartecipare ai risultati della ricerca</t>
  </si>
  <si>
    <r>
      <rPr>
        <b/>
        <sz val="9"/>
        <color indexed="8"/>
        <rFont val="Calibri"/>
        <family val="2"/>
      </rPr>
      <t>missioni all’estero;</t>
    </r>
    <r>
      <rPr>
        <sz val="9"/>
        <color indexed="8"/>
        <rFont val="Calibri"/>
        <family val="2"/>
      </rPr>
      <t xml:space="preserve"> materie prime; fees di iscrizione per la partecipazione a seminari, convegni etc., sia in Italia sia all'estero - NO iscrizioni a società di durata annuale; spese relatori esterni a seminari, convegni presso la sede dell’unità di ricerca; pubblicazione di libri attinenti all’oggetto della ricerca;  spese per la diffusione dei risultati sostenute entro il 12° mese dalla fine del progetto</t>
    </r>
  </si>
  <si>
    <t>20% co-finanziamento (aumentabile fino al 25%)</t>
  </si>
  <si>
    <t>Attuale</t>
  </si>
  <si>
    <t>Missioni all'estero</t>
  </si>
  <si>
    <t>Suggerimenti (non vincolanti):</t>
  </si>
  <si>
    <t>Modello per unità locale n…</t>
  </si>
  <si>
    <t>TOT. Costo di progetto</t>
  </si>
  <si>
    <t>** I costi relativi al personale utili a valorizzare i campi A1 e A2.1 sono riportati nei fogli successivi suddivisi per ruolo/tipologia di contratto.  NB: gli importi si riferiscono ai dati più aggiornati in possesso al momento della pubblicazione. Sono passibili di eventuali scostamenti e sono validi per UNIVE. Non sono ammessi eventuali compensi aggiuntivi o pagamenti per straordinari/diarie.</t>
  </si>
  <si>
    <t>BGT totale di progetto</t>
  </si>
  <si>
    <r>
      <t xml:space="preserve">valorizzazione dei mesi-persona dei professori/RU tempo </t>
    </r>
    <r>
      <rPr>
        <b/>
        <sz val="9"/>
        <color indexed="8"/>
        <rFont val="Calibri"/>
        <family val="2"/>
      </rPr>
      <t>indeterminato</t>
    </r>
    <r>
      <rPr>
        <sz val="9"/>
        <color indexed="8"/>
        <rFont val="Calibri"/>
        <family val="2"/>
      </rPr>
      <t xml:space="preserve"> e facenti parte del gruppo di ricerca *. E' consentito non prevedere una quota di co-finanziamento.</t>
    </r>
  </si>
  <si>
    <r>
      <t xml:space="preserve">* I costi relativi a tale voce potranno comprendere (in misura non superiore al 20% della voce A.1) anche quelli relativi al personale scientifico (professori/ricercatori) che risulti dipendente a tempo indeterminato da soggetto giuridico diverso rispetto all’ateneo/ente, e quelli relativi a personale che risulti comandato o distaccato presso l’ateneo/ente sede dell’unità di ricerca. </t>
    </r>
  </si>
  <si>
    <t>e' consigliabile impostare una soglia del 10% per missioni all'estero sul totale del contributo ammissibile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</si>
</sst>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00"/>
    <numFmt numFmtId="166" formatCode="#,##0.0"/>
    <numFmt numFmtId="167" formatCode="_-* #,##0.00_-;\-* #,##0.00_-;_-* &quot;-&quot;_-;_-@_-"/>
    <numFmt numFmtId="168" formatCode="dd/mm/yy;@"/>
    <numFmt numFmtId="169" formatCode="[$-410]dddd\ d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medium">
        <color theme="3" tint="0.3999800086021423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>
        <color rgb="FFFF0000"/>
      </bottom>
    </border>
    <border>
      <left style="thin"/>
      <right style="medium">
        <color rgb="FFFF0000"/>
      </right>
      <top style="thick">
        <color rgb="FFFF0000"/>
      </top>
      <bottom style="medium">
        <color rgb="FFFF0000"/>
      </bottom>
    </border>
    <border>
      <left style="thin"/>
      <right>
        <color indexed="63"/>
      </right>
      <top style="thick"/>
      <bottom style="thick">
        <color rgb="FFFF0000"/>
      </bottom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>
        <color indexed="63"/>
      </left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>
        <color indexed="63"/>
      </left>
      <right style="medium"/>
      <top style="thick">
        <color theme="3" tint="0.39998000860214233"/>
      </top>
      <bottom style="thick">
        <color theme="3" tint="0.3999800086021423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center" vertical="center"/>
      <protection/>
    </xf>
    <xf numFmtId="165" fontId="3" fillId="33" borderId="0" xfId="48" applyNumberFormat="1" applyFont="1" applyFill="1" applyAlignment="1">
      <alignment horizontal="center"/>
      <protection/>
    </xf>
    <xf numFmtId="4" fontId="3" fillId="33" borderId="0" xfId="48" applyNumberFormat="1" applyFont="1" applyFill="1" applyAlignment="1">
      <alignment horizontal="center"/>
      <protection/>
    </xf>
    <xf numFmtId="0" fontId="3" fillId="33" borderId="0" xfId="48" applyFont="1" applyFill="1">
      <alignment/>
      <protection/>
    </xf>
    <xf numFmtId="0" fontId="5" fillId="33" borderId="0" xfId="48" applyFont="1" applyFill="1">
      <alignment/>
      <protection/>
    </xf>
    <xf numFmtId="166" fontId="3" fillId="33" borderId="0" xfId="48" applyNumberFormat="1" applyFont="1" applyFill="1">
      <alignment/>
      <protection/>
    </xf>
    <xf numFmtId="0" fontId="6" fillId="33" borderId="10" xfId="48" applyFont="1" applyFill="1" applyBorder="1" applyAlignment="1">
      <alignment horizontal="center"/>
      <protection/>
    </xf>
    <xf numFmtId="0" fontId="6" fillId="33" borderId="10" xfId="48" applyFont="1" applyFill="1" applyBorder="1">
      <alignment/>
      <protection/>
    </xf>
    <xf numFmtId="0" fontId="5" fillId="33" borderId="10" xfId="48" applyFont="1" applyFill="1" applyBorder="1">
      <alignment/>
      <protection/>
    </xf>
    <xf numFmtId="4" fontId="3" fillId="33" borderId="0" xfId="48" applyNumberFormat="1" applyFont="1" applyFill="1">
      <alignment/>
      <protection/>
    </xf>
    <xf numFmtId="4" fontId="5" fillId="33" borderId="0" xfId="48" applyNumberFormat="1" applyFont="1" applyFill="1">
      <alignment/>
      <protection/>
    </xf>
    <xf numFmtId="0" fontId="3" fillId="33" borderId="11" xfId="48" applyFont="1" applyFill="1" applyBorder="1" applyAlignment="1">
      <alignment horizontal="center"/>
      <protection/>
    </xf>
    <xf numFmtId="0" fontId="3" fillId="33" borderId="11" xfId="48" applyFont="1" applyFill="1" applyBorder="1">
      <alignment/>
      <protection/>
    </xf>
    <xf numFmtId="4" fontId="3" fillId="33" borderId="11" xfId="48" applyNumberFormat="1" applyFont="1" applyFill="1" applyBorder="1">
      <alignment/>
      <protection/>
    </xf>
    <xf numFmtId="4" fontId="5" fillId="33" borderId="11" xfId="48" applyNumberFormat="1" applyFont="1" applyFill="1" applyBorder="1">
      <alignment/>
      <protection/>
    </xf>
    <xf numFmtId="0" fontId="3" fillId="33" borderId="12" xfId="48" applyFont="1" applyFill="1" applyBorder="1" applyAlignment="1">
      <alignment horizontal="center"/>
      <protection/>
    </xf>
    <xf numFmtId="0" fontId="3" fillId="33" borderId="12" xfId="48" applyFont="1" applyFill="1" applyBorder="1">
      <alignment/>
      <protection/>
    </xf>
    <xf numFmtId="0" fontId="3" fillId="33" borderId="0" xfId="48" applyFont="1" applyFill="1" applyBorder="1">
      <alignment/>
      <protection/>
    </xf>
    <xf numFmtId="0" fontId="6" fillId="33" borderId="0" xfId="48" applyFont="1" applyFill="1" applyAlignment="1">
      <alignment horizontal="center"/>
      <protection/>
    </xf>
    <xf numFmtId="0" fontId="6" fillId="33" borderId="13" xfId="48" applyFont="1" applyFill="1" applyBorder="1" applyAlignment="1">
      <alignment horizontal="center"/>
      <protection/>
    </xf>
    <xf numFmtId="0" fontId="6" fillId="33" borderId="14" xfId="48" applyFont="1" applyFill="1" applyBorder="1" applyAlignment="1">
      <alignment horizontal="center"/>
      <protection/>
    </xf>
    <xf numFmtId="0" fontId="6" fillId="33" borderId="14" xfId="48" applyFont="1" applyFill="1" applyBorder="1">
      <alignment/>
      <protection/>
    </xf>
    <xf numFmtId="0" fontId="5" fillId="33" borderId="15" xfId="48" applyFont="1" applyFill="1" applyBorder="1">
      <alignment/>
      <protection/>
    </xf>
    <xf numFmtId="0" fontId="3" fillId="33" borderId="16" xfId="48" applyFont="1" applyFill="1" applyBorder="1" applyAlignment="1">
      <alignment horizontal="center"/>
      <protection/>
    </xf>
    <xf numFmtId="0" fontId="3" fillId="33" borderId="17" xfId="48" applyFont="1" applyFill="1" applyBorder="1" applyAlignment="1">
      <alignment horizontal="center"/>
      <protection/>
    </xf>
    <xf numFmtId="0" fontId="3" fillId="33" borderId="17" xfId="48" applyFont="1" applyFill="1" applyBorder="1">
      <alignment/>
      <protection/>
    </xf>
    <xf numFmtId="4" fontId="3" fillId="33" borderId="17" xfId="48" applyNumberFormat="1" applyFont="1" applyFill="1" applyBorder="1">
      <alignment/>
      <protection/>
    </xf>
    <xf numFmtId="4" fontId="5" fillId="33" borderId="18" xfId="48" applyNumberFormat="1" applyFont="1" applyFill="1" applyBorder="1">
      <alignment/>
      <protection/>
    </xf>
    <xf numFmtId="0" fontId="3" fillId="33" borderId="19" xfId="48" applyFont="1" applyFill="1" applyBorder="1" applyAlignment="1">
      <alignment horizontal="center"/>
      <protection/>
    </xf>
    <xf numFmtId="0" fontId="3" fillId="33" borderId="20" xfId="48" applyFont="1" applyFill="1" applyBorder="1" applyAlignment="1">
      <alignment horizontal="center"/>
      <protection/>
    </xf>
    <xf numFmtId="0" fontId="3" fillId="33" borderId="20" xfId="48" applyFont="1" applyFill="1" applyBorder="1">
      <alignment/>
      <protection/>
    </xf>
    <xf numFmtId="4" fontId="3" fillId="33" borderId="20" xfId="48" applyNumberFormat="1" applyFont="1" applyFill="1" applyBorder="1">
      <alignment/>
      <protection/>
    </xf>
    <xf numFmtId="4" fontId="5" fillId="33" borderId="21" xfId="48" applyNumberFormat="1" applyFont="1" applyFill="1" applyBorder="1">
      <alignment/>
      <protection/>
    </xf>
    <xf numFmtId="0" fontId="3" fillId="33" borderId="22" xfId="48" applyFont="1" applyFill="1" applyBorder="1" applyAlignment="1">
      <alignment horizontal="center"/>
      <protection/>
    </xf>
    <xf numFmtId="0" fontId="3" fillId="33" borderId="23" xfId="48" applyFont="1" applyFill="1" applyBorder="1" applyAlignment="1">
      <alignment horizontal="center"/>
      <protection/>
    </xf>
    <xf numFmtId="0" fontId="3" fillId="33" borderId="23" xfId="48" applyFont="1" applyFill="1" applyBorder="1">
      <alignment/>
      <protection/>
    </xf>
    <xf numFmtId="4" fontId="3" fillId="33" borderId="23" xfId="48" applyNumberFormat="1" applyFont="1" applyFill="1" applyBorder="1">
      <alignment/>
      <protection/>
    </xf>
    <xf numFmtId="4" fontId="5" fillId="33" borderId="24" xfId="48" applyNumberFormat="1" applyFont="1" applyFill="1" applyBorder="1">
      <alignment/>
      <protection/>
    </xf>
    <xf numFmtId="0" fontId="3" fillId="33" borderId="25" xfId="48" applyFont="1" applyFill="1" applyBorder="1" applyAlignment="1">
      <alignment horizontal="center"/>
      <protection/>
    </xf>
    <xf numFmtId="0" fontId="3" fillId="33" borderId="26" xfId="48" applyFont="1" applyFill="1" applyBorder="1" applyAlignment="1">
      <alignment horizontal="center"/>
      <protection/>
    </xf>
    <xf numFmtId="0" fontId="3" fillId="33" borderId="26" xfId="48" applyFont="1" applyFill="1" applyBorder="1">
      <alignment/>
      <protection/>
    </xf>
    <xf numFmtId="4" fontId="3" fillId="33" borderId="26" xfId="48" applyNumberFormat="1" applyFont="1" applyFill="1" applyBorder="1">
      <alignment/>
      <protection/>
    </xf>
    <xf numFmtId="4" fontId="5" fillId="33" borderId="27" xfId="48" applyNumberFormat="1" applyFont="1" applyFill="1" applyBorder="1">
      <alignment/>
      <protection/>
    </xf>
    <xf numFmtId="0" fontId="3" fillId="33" borderId="28" xfId="48" applyFont="1" applyFill="1" applyBorder="1">
      <alignment/>
      <protection/>
    </xf>
    <xf numFmtId="0" fontId="3" fillId="33" borderId="29" xfId="48" applyFont="1" applyFill="1" applyBorder="1">
      <alignment/>
      <protection/>
    </xf>
    <xf numFmtId="0" fontId="3" fillId="33" borderId="30" xfId="48" applyFont="1" applyFill="1" applyBorder="1">
      <alignment/>
      <protection/>
    </xf>
    <xf numFmtId="0" fontId="3" fillId="33" borderId="31" xfId="48" applyFont="1" applyFill="1" applyBorder="1">
      <alignment/>
      <protection/>
    </xf>
    <xf numFmtId="4" fontId="7" fillId="33" borderId="20" xfId="48" applyNumberFormat="1" applyFont="1" applyFill="1" applyBorder="1" applyAlignment="1">
      <alignment horizontal="center" vertical="center" wrapText="1"/>
      <protection/>
    </xf>
    <xf numFmtId="4" fontId="7" fillId="33" borderId="23" xfId="48" applyNumberFormat="1" applyFont="1" applyFill="1" applyBorder="1" applyAlignment="1">
      <alignment horizontal="center" vertical="center" wrapText="1"/>
      <protection/>
    </xf>
    <xf numFmtId="0" fontId="8" fillId="33" borderId="0" xfId="48" applyFont="1" applyFill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3" fillId="0" borderId="0" xfId="48" applyFont="1" applyFill="1">
      <alignment/>
      <protection/>
    </xf>
    <xf numFmtId="0" fontId="5" fillId="0" borderId="0" xfId="48" applyFont="1" applyFill="1">
      <alignment/>
      <protection/>
    </xf>
    <xf numFmtId="166" fontId="3" fillId="0" borderId="0" xfId="48" applyNumberFormat="1" applyFont="1">
      <alignment/>
      <protection/>
    </xf>
    <xf numFmtId="0" fontId="9" fillId="0" borderId="0" xfId="48" applyFont="1" applyAlignment="1">
      <alignment horizontal="left" vertical="center"/>
      <protection/>
    </xf>
    <xf numFmtId="0" fontId="12" fillId="0" borderId="0" xfId="48" applyFont="1" applyFill="1">
      <alignment/>
      <protection/>
    </xf>
    <xf numFmtId="0" fontId="13" fillId="0" borderId="0" xfId="48" applyFont="1" applyFill="1">
      <alignment/>
      <protection/>
    </xf>
    <xf numFmtId="0" fontId="12" fillId="0" borderId="0" xfId="48" applyFont="1">
      <alignment/>
      <protection/>
    </xf>
    <xf numFmtId="166" fontId="12" fillId="0" borderId="0" xfId="48" applyNumberFormat="1" applyFont="1">
      <alignment/>
      <protection/>
    </xf>
    <xf numFmtId="4" fontId="3" fillId="0" borderId="0" xfId="48" applyNumberFormat="1" applyFont="1" applyAlignment="1">
      <alignment horizontal="center"/>
      <protection/>
    </xf>
    <xf numFmtId="0" fontId="3" fillId="0" borderId="32" xfId="48" applyFont="1" applyBorder="1">
      <alignment/>
      <protection/>
    </xf>
    <xf numFmtId="0" fontId="14" fillId="0" borderId="33" xfId="48" applyFont="1" applyBorder="1" applyAlignment="1">
      <alignment horizontal="center" vertical="center"/>
      <protection/>
    </xf>
    <xf numFmtId="0" fontId="14" fillId="0" borderId="34" xfId="48" applyFont="1" applyBorder="1" applyAlignment="1">
      <alignment horizontal="center" vertical="center"/>
      <protection/>
    </xf>
    <xf numFmtId="43" fontId="13" fillId="34" borderId="34" xfId="46" applyFont="1" applyFill="1" applyBorder="1" applyAlignment="1">
      <alignment horizontal="center" vertical="center" wrapText="1"/>
    </xf>
    <xf numFmtId="0" fontId="14" fillId="0" borderId="34" xfId="48" applyFont="1" applyFill="1" applyBorder="1" applyAlignment="1">
      <alignment horizontal="center" vertical="center"/>
      <protection/>
    </xf>
    <xf numFmtId="0" fontId="14" fillId="0" borderId="34" xfId="48" applyFont="1" applyFill="1" applyBorder="1" applyAlignment="1">
      <alignment horizontal="center" vertical="center" wrapText="1"/>
      <protection/>
    </xf>
    <xf numFmtId="0" fontId="14" fillId="0" borderId="35" xfId="48" applyFont="1" applyBorder="1" applyAlignment="1">
      <alignment horizontal="center"/>
      <protection/>
    </xf>
    <xf numFmtId="0" fontId="14" fillId="0" borderId="35" xfId="48" applyFont="1" applyBorder="1">
      <alignment/>
      <protection/>
    </xf>
    <xf numFmtId="43" fontId="14" fillId="34" borderId="35" xfId="46" applyFont="1" applyFill="1" applyBorder="1" applyAlignment="1">
      <alignment horizontal="center" vertical="center" wrapText="1"/>
    </xf>
    <xf numFmtId="0" fontId="14" fillId="0" borderId="35" xfId="48" applyFont="1" applyFill="1" applyBorder="1" applyAlignment="1">
      <alignment horizontal="center"/>
      <protection/>
    </xf>
    <xf numFmtId="0" fontId="14" fillId="0" borderId="35" xfId="48" applyFont="1" applyFill="1" applyBorder="1">
      <alignment/>
      <protection/>
    </xf>
    <xf numFmtId="0" fontId="12" fillId="0" borderId="17" xfId="48" applyFont="1" applyBorder="1" applyAlignment="1">
      <alignment horizontal="center"/>
      <protection/>
    </xf>
    <xf numFmtId="0" fontId="12" fillId="0" borderId="14" xfId="48" applyFont="1" applyBorder="1" applyAlignment="1">
      <alignment horizontal="center"/>
      <protection/>
    </xf>
    <xf numFmtId="0" fontId="12" fillId="0" borderId="17" xfId="48" applyFont="1" applyBorder="1">
      <alignment/>
      <protection/>
    </xf>
    <xf numFmtId="4" fontId="15" fillId="34" borderId="17" xfId="48" applyNumberFormat="1" applyFont="1" applyFill="1" applyBorder="1" applyAlignment="1">
      <alignment horizontal="center" vertical="center"/>
      <protection/>
    </xf>
    <xf numFmtId="4" fontId="12" fillId="0" borderId="17" xfId="48" applyNumberFormat="1" applyFont="1" applyBorder="1">
      <alignment/>
      <protection/>
    </xf>
    <xf numFmtId="4" fontId="12" fillId="0" borderId="17" xfId="48" applyNumberFormat="1" applyFont="1" applyFill="1" applyBorder="1">
      <alignment/>
      <protection/>
    </xf>
    <xf numFmtId="4" fontId="13" fillId="0" borderId="30" xfId="48" applyNumberFormat="1" applyFont="1" applyFill="1" applyBorder="1">
      <alignment/>
      <protection/>
    </xf>
    <xf numFmtId="0" fontId="12" fillId="0" borderId="20" xfId="48" applyFont="1" applyBorder="1" applyAlignment="1">
      <alignment horizontal="center"/>
      <protection/>
    </xf>
    <xf numFmtId="0" fontId="12" fillId="0" borderId="20" xfId="48" applyFont="1" applyBorder="1">
      <alignment/>
      <protection/>
    </xf>
    <xf numFmtId="0" fontId="12" fillId="0" borderId="28" xfId="48" applyFont="1" applyBorder="1">
      <alignment/>
      <protection/>
    </xf>
    <xf numFmtId="4" fontId="15" fillId="34" borderId="20" xfId="48" applyNumberFormat="1" applyFont="1" applyFill="1" applyBorder="1" applyAlignment="1">
      <alignment horizontal="center" vertical="center"/>
      <protection/>
    </xf>
    <xf numFmtId="4" fontId="12" fillId="0" borderId="20" xfId="48" applyNumberFormat="1" applyFont="1" applyBorder="1">
      <alignment/>
      <protection/>
    </xf>
    <xf numFmtId="4" fontId="12" fillId="0" borderId="20" xfId="48" applyNumberFormat="1" applyFont="1" applyFill="1" applyBorder="1">
      <alignment/>
      <protection/>
    </xf>
    <xf numFmtId="4" fontId="13" fillId="0" borderId="28" xfId="48" applyNumberFormat="1" applyFont="1" applyFill="1" applyBorder="1">
      <alignment/>
      <protection/>
    </xf>
    <xf numFmtId="4" fontId="12" fillId="0" borderId="26" xfId="48" applyNumberFormat="1" applyFont="1" applyBorder="1">
      <alignment/>
      <protection/>
    </xf>
    <xf numFmtId="4" fontId="12" fillId="0" borderId="20" xfId="48" applyNumberFormat="1" applyFont="1" applyFill="1" applyBorder="1" applyAlignment="1">
      <alignment horizontal="right" vertical="center" wrapText="1"/>
      <protection/>
    </xf>
    <xf numFmtId="0" fontId="12" fillId="0" borderId="23" xfId="48" applyFont="1" applyBorder="1" applyAlignment="1">
      <alignment horizontal="center"/>
      <protection/>
    </xf>
    <xf numFmtId="0" fontId="12" fillId="0" borderId="23" xfId="48" applyFont="1" applyBorder="1">
      <alignment/>
      <protection/>
    </xf>
    <xf numFmtId="0" fontId="12" fillId="0" borderId="29" xfId="48" applyFont="1" applyBorder="1">
      <alignment/>
      <protection/>
    </xf>
    <xf numFmtId="4" fontId="15" fillId="34" borderId="23" xfId="48" applyNumberFormat="1" applyFont="1" applyFill="1" applyBorder="1" applyAlignment="1">
      <alignment horizontal="center" vertical="center"/>
      <protection/>
    </xf>
    <xf numFmtId="4" fontId="12" fillId="0" borderId="23" xfId="48" applyNumberFormat="1" applyFont="1" applyFill="1" applyBorder="1">
      <alignment/>
      <protection/>
    </xf>
    <xf numFmtId="4" fontId="12" fillId="0" borderId="23" xfId="48" applyNumberFormat="1" applyFont="1" applyFill="1" applyBorder="1" applyAlignment="1">
      <alignment horizontal="right" vertical="center" wrapText="1"/>
      <protection/>
    </xf>
    <xf numFmtId="4" fontId="13" fillId="0" borderId="29" xfId="48" applyNumberFormat="1" applyFont="1" applyFill="1" applyBorder="1">
      <alignment/>
      <protection/>
    </xf>
    <xf numFmtId="4" fontId="12" fillId="0" borderId="23" xfId="48" applyNumberFormat="1" applyFont="1" applyBorder="1">
      <alignment/>
      <protection/>
    </xf>
    <xf numFmtId="0" fontId="12" fillId="35" borderId="34" xfId="48" applyFont="1" applyFill="1" applyBorder="1" applyAlignment="1">
      <alignment horizontal="center"/>
      <protection/>
    </xf>
    <xf numFmtId="0" fontId="12" fillId="35" borderId="36" xfId="48" applyFont="1" applyFill="1" applyBorder="1" applyAlignment="1">
      <alignment horizontal="center"/>
      <protection/>
    </xf>
    <xf numFmtId="0" fontId="12" fillId="35" borderId="34" xfId="48" applyFont="1" applyFill="1" applyBorder="1">
      <alignment/>
      <protection/>
    </xf>
    <xf numFmtId="0" fontId="12" fillId="35" borderId="37" xfId="48" applyFont="1" applyFill="1" applyBorder="1">
      <alignment/>
      <protection/>
    </xf>
    <xf numFmtId="4" fontId="15" fillId="35" borderId="34" xfId="48" applyNumberFormat="1" applyFont="1" applyFill="1" applyBorder="1" applyAlignment="1">
      <alignment horizontal="center" vertical="center"/>
      <protection/>
    </xf>
    <xf numFmtId="4" fontId="12" fillId="35" borderId="34" xfId="48" applyNumberFormat="1" applyFont="1" applyFill="1" applyBorder="1">
      <alignment/>
      <protection/>
    </xf>
    <xf numFmtId="4" fontId="12" fillId="35" borderId="34" xfId="48" applyNumberFormat="1" applyFont="1" applyFill="1" applyBorder="1" applyAlignment="1">
      <alignment horizontal="right" vertical="center" wrapText="1"/>
      <protection/>
    </xf>
    <xf numFmtId="4" fontId="13" fillId="35" borderId="37" xfId="48" applyNumberFormat="1" applyFont="1" applyFill="1" applyBorder="1">
      <alignment/>
      <protection/>
    </xf>
    <xf numFmtId="0" fontId="12" fillId="0" borderId="26" xfId="48" applyFont="1" applyBorder="1" applyAlignment="1">
      <alignment horizontal="center"/>
      <protection/>
    </xf>
    <xf numFmtId="0" fontId="12" fillId="0" borderId="38" xfId="48" applyFont="1" applyBorder="1" applyAlignment="1">
      <alignment horizontal="center"/>
      <protection/>
    </xf>
    <xf numFmtId="0" fontId="12" fillId="0" borderId="26" xfId="48" applyFont="1" applyBorder="1">
      <alignment/>
      <protection/>
    </xf>
    <xf numFmtId="0" fontId="12" fillId="0" borderId="31" xfId="48" applyFont="1" applyBorder="1">
      <alignment/>
      <protection/>
    </xf>
    <xf numFmtId="4" fontId="15" fillId="34" borderId="26" xfId="48" applyNumberFormat="1" applyFont="1" applyFill="1" applyBorder="1" applyAlignment="1">
      <alignment horizontal="center" vertical="center"/>
      <protection/>
    </xf>
    <xf numFmtId="4" fontId="12" fillId="0" borderId="26" xfId="48" applyNumberFormat="1" applyFont="1" applyFill="1" applyBorder="1">
      <alignment/>
      <protection/>
    </xf>
    <xf numFmtId="4" fontId="13" fillId="0" borderId="31" xfId="48" applyNumberFormat="1" applyFont="1" applyFill="1" applyBorder="1">
      <alignment/>
      <protection/>
    </xf>
    <xf numFmtId="0" fontId="12" fillId="0" borderId="39" xfId="48" applyFont="1" applyBorder="1" applyAlignment="1">
      <alignment horizontal="center"/>
      <protection/>
    </xf>
    <xf numFmtId="0" fontId="12" fillId="0" borderId="39" xfId="48" applyFont="1" applyFill="1" applyBorder="1" applyAlignment="1">
      <alignment horizontal="center"/>
      <protection/>
    </xf>
    <xf numFmtId="0" fontId="12" fillId="0" borderId="20" xfId="48" applyFont="1" applyFill="1" applyBorder="1" applyAlignment="1">
      <alignment horizontal="center"/>
      <protection/>
    </xf>
    <xf numFmtId="0" fontId="12" fillId="0" borderId="20" xfId="48" applyFont="1" applyFill="1" applyBorder="1">
      <alignment/>
      <protection/>
    </xf>
    <xf numFmtId="0" fontId="12" fillId="0" borderId="28" xfId="48" applyFont="1" applyFill="1" applyBorder="1">
      <alignment/>
      <protection/>
    </xf>
    <xf numFmtId="166" fontId="12" fillId="0" borderId="0" xfId="48" applyNumberFormat="1" applyFont="1" applyFill="1">
      <alignment/>
      <protection/>
    </xf>
    <xf numFmtId="0" fontId="12" fillId="0" borderId="40" xfId="48" applyFont="1" applyBorder="1" applyAlignment="1">
      <alignment horizontal="center"/>
      <protection/>
    </xf>
    <xf numFmtId="0" fontId="12" fillId="35" borderId="37" xfId="48" applyFont="1" applyFill="1" applyBorder="1" applyAlignment="1">
      <alignment horizontal="center"/>
      <protection/>
    </xf>
    <xf numFmtId="0" fontId="12" fillId="0" borderId="25" xfId="48" applyFont="1" applyFill="1" applyBorder="1" applyAlignment="1">
      <alignment horizontal="center"/>
      <protection/>
    </xf>
    <xf numFmtId="0" fontId="12" fillId="0" borderId="26" xfId="48" applyFont="1" applyFill="1" applyBorder="1" applyAlignment="1">
      <alignment horizontal="center"/>
      <protection/>
    </xf>
    <xf numFmtId="0" fontId="12" fillId="0" borderId="26" xfId="48" applyFont="1" applyFill="1" applyBorder="1">
      <alignment/>
      <protection/>
    </xf>
    <xf numFmtId="0" fontId="12" fillId="0" borderId="31" xfId="48" applyFont="1" applyFill="1" applyBorder="1">
      <alignment/>
      <protection/>
    </xf>
    <xf numFmtId="0" fontId="12" fillId="0" borderId="19" xfId="48" applyFont="1" applyFill="1" applyBorder="1" applyAlignment="1">
      <alignment horizontal="center"/>
      <protection/>
    </xf>
    <xf numFmtId="4" fontId="12" fillId="0" borderId="0" xfId="48" applyNumberFormat="1" applyFont="1">
      <alignment/>
      <protection/>
    </xf>
    <xf numFmtId="0" fontId="12" fillId="0" borderId="19" xfId="48" applyFont="1" applyBorder="1" applyAlignment="1">
      <alignment horizontal="center"/>
      <protection/>
    </xf>
    <xf numFmtId="0" fontId="12" fillId="0" borderId="22" xfId="48" applyFont="1" applyBorder="1" applyAlignment="1">
      <alignment horizontal="center"/>
      <protection/>
    </xf>
    <xf numFmtId="4" fontId="15" fillId="34" borderId="35" xfId="48" applyNumberFormat="1" applyFont="1" applyFill="1" applyBorder="1" applyAlignment="1">
      <alignment horizontal="center" vertical="center"/>
      <protection/>
    </xf>
    <xf numFmtId="0" fontId="12" fillId="0" borderId="0" xfId="48" applyFont="1" applyAlignment="1">
      <alignment horizontal="center"/>
      <protection/>
    </xf>
    <xf numFmtId="0" fontId="8" fillId="0" borderId="0" xfId="48" applyFont="1" applyAlignment="1">
      <alignment vertical="center"/>
      <protection/>
    </xf>
    <xf numFmtId="165" fontId="3" fillId="0" borderId="0" xfId="48" applyNumberFormat="1" applyFont="1">
      <alignment/>
      <protection/>
    </xf>
    <xf numFmtId="4" fontId="3" fillId="0" borderId="0" xfId="48" applyNumberFormat="1" applyFont="1">
      <alignment/>
      <protection/>
    </xf>
    <xf numFmtId="0" fontId="2" fillId="0" borderId="0" xfId="48">
      <alignment/>
      <protection/>
    </xf>
    <xf numFmtId="43" fontId="67" fillId="34" borderId="34" xfId="46" applyFont="1" applyFill="1" applyBorder="1" applyAlignment="1">
      <alignment horizontal="center" vertical="center" wrapText="1"/>
    </xf>
    <xf numFmtId="0" fontId="14" fillId="0" borderId="41" xfId="48" applyFont="1" applyBorder="1" applyAlignment="1">
      <alignment horizontal="center"/>
      <protection/>
    </xf>
    <xf numFmtId="43" fontId="14" fillId="0" borderId="35" xfId="46" applyFont="1" applyFill="1" applyBorder="1" applyAlignment="1">
      <alignment horizontal="center" vertical="center" wrapText="1"/>
    </xf>
    <xf numFmtId="0" fontId="12" fillId="0" borderId="23" xfId="48" applyFont="1" applyFill="1" applyBorder="1" applyAlignment="1">
      <alignment horizontal="center"/>
      <protection/>
    </xf>
    <xf numFmtId="0" fontId="12" fillId="0" borderId="23" xfId="48" applyFont="1" applyFill="1" applyBorder="1">
      <alignment/>
      <protection/>
    </xf>
    <xf numFmtId="0" fontId="12" fillId="35" borderId="23" xfId="48" applyFont="1" applyFill="1" applyBorder="1" applyAlignment="1">
      <alignment horizontal="center"/>
      <protection/>
    </xf>
    <xf numFmtId="0" fontId="12" fillId="35" borderId="23" xfId="48" applyFont="1" applyFill="1" applyBorder="1">
      <alignment/>
      <protection/>
    </xf>
    <xf numFmtId="4" fontId="15" fillId="35" borderId="23" xfId="48" applyNumberFormat="1" applyFont="1" applyFill="1" applyBorder="1" applyAlignment="1">
      <alignment horizontal="center" vertical="center"/>
      <protection/>
    </xf>
    <xf numFmtId="4" fontId="12" fillId="35" borderId="23" xfId="48" applyNumberFormat="1" applyFont="1" applyFill="1" applyBorder="1">
      <alignment/>
      <protection/>
    </xf>
    <xf numFmtId="0" fontId="3" fillId="0" borderId="0" xfId="48" applyFont="1" applyFill="1" applyAlignment="1">
      <alignment horizontal="center"/>
      <protection/>
    </xf>
    <xf numFmtId="0" fontId="2" fillId="0" borderId="0" xfId="48" applyAlignment="1">
      <alignment horizontal="center"/>
      <protection/>
    </xf>
    <xf numFmtId="0" fontId="9" fillId="0" borderId="0" xfId="48" applyFont="1">
      <alignment/>
      <protection/>
    </xf>
    <xf numFmtId="43" fontId="18" fillId="0" borderId="0" xfId="46" applyFont="1" applyAlignment="1">
      <alignment/>
    </xf>
    <xf numFmtId="0" fontId="2" fillId="0" borderId="0" xfId="48" applyFont="1">
      <alignment/>
      <protection/>
    </xf>
    <xf numFmtId="0" fontId="9" fillId="0" borderId="32" xfId="48" applyFont="1" applyBorder="1">
      <alignment/>
      <protection/>
    </xf>
    <xf numFmtId="43" fontId="18" fillId="0" borderId="32" xfId="46" applyFont="1" applyBorder="1" applyAlignment="1">
      <alignment/>
    </xf>
    <xf numFmtId="0" fontId="19" fillId="0" borderId="35" xfId="48" applyFont="1" applyBorder="1" applyAlignment="1">
      <alignment horizontal="center" vertical="center"/>
      <protection/>
    </xf>
    <xf numFmtId="43" fontId="13" fillId="34" borderId="35" xfId="46" applyFont="1" applyFill="1" applyBorder="1" applyAlignment="1">
      <alignment horizontal="center" vertical="center" wrapText="1"/>
    </xf>
    <xf numFmtId="43" fontId="20" fillId="0" borderId="35" xfId="46" applyFont="1" applyBorder="1" applyAlignment="1">
      <alignment horizontal="center" vertical="center" wrapText="1"/>
    </xf>
    <xf numFmtId="0" fontId="19" fillId="0" borderId="34" xfId="48" applyFont="1" applyBorder="1" applyAlignment="1">
      <alignment horizontal="center" vertical="center"/>
      <protection/>
    </xf>
    <xf numFmtId="0" fontId="19" fillId="0" borderId="34" xfId="48" applyFont="1" applyFill="1" applyBorder="1" applyAlignment="1">
      <alignment horizontal="center" vertical="center" wrapText="1"/>
      <protection/>
    </xf>
    <xf numFmtId="43" fontId="20" fillId="0" borderId="42" xfId="46" applyFont="1" applyBorder="1" applyAlignment="1">
      <alignment horizontal="center" vertical="center" wrapText="1"/>
    </xf>
    <xf numFmtId="0" fontId="21" fillId="0" borderId="0" xfId="48" applyFont="1" applyBorder="1" applyAlignment="1">
      <alignment vertical="center" wrapText="1"/>
      <protection/>
    </xf>
    <xf numFmtId="0" fontId="21" fillId="0" borderId="0" xfId="48" applyFont="1" applyAlignment="1">
      <alignment vertical="center" wrapText="1"/>
      <protection/>
    </xf>
    <xf numFmtId="0" fontId="20" fillId="0" borderId="38" xfId="48" applyFont="1" applyBorder="1" applyAlignment="1">
      <alignment horizontal="center" vertical="center" wrapText="1"/>
      <protection/>
    </xf>
    <xf numFmtId="43" fontId="22" fillId="34" borderId="26" xfId="46" applyFont="1" applyFill="1" applyBorder="1" applyAlignment="1">
      <alignment horizontal="center" vertical="center" wrapText="1"/>
    </xf>
    <xf numFmtId="43" fontId="23" fillId="0" borderId="26" xfId="46" applyFont="1" applyBorder="1" applyAlignment="1">
      <alignment horizontal="center" vertical="center" wrapText="1"/>
    </xf>
    <xf numFmtId="43" fontId="23" fillId="0" borderId="38" xfId="46" applyFont="1" applyBorder="1" applyAlignment="1">
      <alignment horizontal="center" vertical="center" wrapText="1"/>
    </xf>
    <xf numFmtId="0" fontId="20" fillId="0" borderId="39" xfId="48" applyFont="1" applyFill="1" applyBorder="1">
      <alignment/>
      <protection/>
    </xf>
    <xf numFmtId="4" fontId="13" fillId="34" borderId="20" xfId="48" applyNumberFormat="1" applyFont="1" applyFill="1" applyBorder="1" applyAlignment="1">
      <alignment horizontal="center"/>
      <protection/>
    </xf>
    <xf numFmtId="43" fontId="24" fillId="0" borderId="20" xfId="46" applyFont="1" applyFill="1" applyBorder="1" applyAlignment="1">
      <alignment/>
    </xf>
    <xf numFmtId="43" fontId="20" fillId="0" borderId="20" xfId="46" applyFont="1" applyBorder="1" applyAlignment="1">
      <alignment horizontal="center" vertical="center" wrapText="1"/>
    </xf>
    <xf numFmtId="43" fontId="2" fillId="0" borderId="20" xfId="46" applyFont="1" applyFill="1" applyBorder="1" applyAlignment="1">
      <alignment/>
    </xf>
    <xf numFmtId="43" fontId="21" fillId="0" borderId="0" xfId="48" applyNumberFormat="1" applyFont="1" applyBorder="1" applyAlignment="1">
      <alignment vertical="center" wrapText="1"/>
      <protection/>
    </xf>
    <xf numFmtId="0" fontId="20" fillId="0" borderId="42" xfId="48" applyFont="1" applyFill="1" applyBorder="1">
      <alignment/>
      <protection/>
    </xf>
    <xf numFmtId="4" fontId="13" fillId="34" borderId="35" xfId="48" applyNumberFormat="1" applyFont="1" applyFill="1" applyBorder="1" applyAlignment="1">
      <alignment horizontal="center"/>
      <protection/>
    </xf>
    <xf numFmtId="43" fontId="24" fillId="0" borderId="35" xfId="46" applyFont="1" applyFill="1" applyBorder="1" applyAlignment="1">
      <alignment/>
    </xf>
    <xf numFmtId="43" fontId="24" fillId="0" borderId="23" xfId="46" applyFont="1" applyFill="1" applyBorder="1" applyAlignment="1">
      <alignment/>
    </xf>
    <xf numFmtId="43" fontId="2" fillId="0" borderId="35" xfId="46" applyFont="1" applyFill="1" applyBorder="1" applyAlignment="1">
      <alignment/>
    </xf>
    <xf numFmtId="41" fontId="24" fillId="0" borderId="35" xfId="46" applyNumberFormat="1" applyFont="1" applyFill="1" applyBorder="1" applyAlignment="1">
      <alignment/>
    </xf>
    <xf numFmtId="43" fontId="24" fillId="0" borderId="42" xfId="46" applyFont="1" applyFill="1" applyBorder="1" applyAlignment="1">
      <alignment/>
    </xf>
    <xf numFmtId="43" fontId="2" fillId="0" borderId="42" xfId="46" applyFont="1" applyFill="1" applyBorder="1" applyAlignment="1">
      <alignment/>
    </xf>
    <xf numFmtId="0" fontId="2" fillId="0" borderId="0" xfId="48" applyFont="1" applyFill="1" applyBorder="1">
      <alignment/>
      <protection/>
    </xf>
    <xf numFmtId="0" fontId="2" fillId="0" borderId="12" xfId="48" applyFont="1" applyFill="1" applyBorder="1">
      <alignment/>
      <protection/>
    </xf>
    <xf numFmtId="43" fontId="25" fillId="0" borderId="0" xfId="46" applyFont="1" applyAlignment="1">
      <alignment/>
    </xf>
    <xf numFmtId="0" fontId="20" fillId="0" borderId="20" xfId="48" applyFont="1" applyFill="1" applyBorder="1">
      <alignment/>
      <protection/>
    </xf>
    <xf numFmtId="0" fontId="2" fillId="0" borderId="0" xfId="48" applyFill="1">
      <alignment/>
      <protection/>
    </xf>
    <xf numFmtId="0" fontId="20" fillId="0" borderId="23" xfId="48" applyFont="1" applyFill="1" applyBorder="1">
      <alignment/>
      <protection/>
    </xf>
    <xf numFmtId="4" fontId="13" fillId="34" borderId="23" xfId="48" applyNumberFormat="1" applyFont="1" applyFill="1" applyBorder="1" applyAlignment="1">
      <alignment horizontal="center"/>
      <protection/>
    </xf>
    <xf numFmtId="43" fontId="2" fillId="0" borderId="23" xfId="46" applyFont="1" applyFill="1" applyBorder="1" applyAlignment="1">
      <alignment/>
    </xf>
    <xf numFmtId="43" fontId="20" fillId="0" borderId="23" xfId="46" applyFont="1" applyBorder="1" applyAlignment="1">
      <alignment horizontal="center" vertical="center" wrapText="1"/>
    </xf>
    <xf numFmtId="0" fontId="20" fillId="0" borderId="0" xfId="48" applyFont="1" applyFill="1" applyBorder="1">
      <alignment/>
      <protection/>
    </xf>
    <xf numFmtId="4" fontId="2" fillId="0" borderId="0" xfId="48" applyNumberFormat="1" applyFont="1" applyFill="1" applyBorder="1">
      <alignment/>
      <protection/>
    </xf>
    <xf numFmtId="0" fontId="2" fillId="0" borderId="0" xfId="48" applyFill="1" applyBorder="1">
      <alignment/>
      <protection/>
    </xf>
    <xf numFmtId="4" fontId="2" fillId="0" borderId="0" xfId="48" applyNumberFormat="1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wrapText="1"/>
      <protection/>
    </xf>
    <xf numFmtId="0" fontId="2" fillId="0" borderId="32" xfId="48" applyFill="1" applyBorder="1" applyAlignment="1">
      <alignment wrapText="1"/>
      <protection/>
    </xf>
    <xf numFmtId="0" fontId="2" fillId="0" borderId="32" xfId="48" applyFill="1" applyBorder="1">
      <alignment/>
      <protection/>
    </xf>
    <xf numFmtId="4" fontId="2" fillId="0" borderId="0" xfId="48" applyNumberFormat="1" applyFill="1" applyBorder="1">
      <alignment/>
      <protection/>
    </xf>
    <xf numFmtId="4" fontId="2" fillId="0" borderId="0" xfId="48" applyNumberFormat="1" applyFill="1" applyBorder="1" applyAlignment="1">
      <alignment horizontal="center"/>
      <protection/>
    </xf>
    <xf numFmtId="0" fontId="2" fillId="0" borderId="0" xfId="48" applyFill="1" applyBorder="1" applyAlignment="1">
      <alignment wrapText="1"/>
      <protection/>
    </xf>
    <xf numFmtId="0" fontId="20" fillId="0" borderId="23" xfId="48" applyFont="1" applyBorder="1" applyAlignment="1">
      <alignment horizontal="center" vertical="center" wrapText="1"/>
      <protection/>
    </xf>
    <xf numFmtId="43" fontId="13" fillId="34" borderId="23" xfId="46" applyFont="1" applyFill="1" applyBorder="1" applyAlignment="1">
      <alignment horizontal="center" vertical="center" wrapText="1"/>
    </xf>
    <xf numFmtId="0" fontId="19" fillId="0" borderId="23" xfId="48" applyFont="1" applyFill="1" applyBorder="1" applyAlignment="1">
      <alignment horizontal="center" wrapText="1"/>
      <protection/>
    </xf>
    <xf numFmtId="0" fontId="20" fillId="0" borderId="26" xfId="48" applyFont="1" applyBorder="1" applyAlignment="1">
      <alignment horizontal="center" vertical="center" wrapText="1"/>
      <protection/>
    </xf>
    <xf numFmtId="0" fontId="19" fillId="0" borderId="26" xfId="48" applyFont="1" applyFill="1" applyBorder="1" applyAlignment="1">
      <alignment horizontal="center" wrapText="1"/>
      <protection/>
    </xf>
    <xf numFmtId="0" fontId="20" fillId="0" borderId="35" xfId="48" applyFont="1" applyBorder="1" applyAlignment="1">
      <alignment horizontal="center" vertical="center" wrapText="1"/>
      <protection/>
    </xf>
    <xf numFmtId="4" fontId="13" fillId="0" borderId="23" xfId="48" applyNumberFormat="1" applyFont="1" applyFill="1" applyBorder="1" applyAlignment="1">
      <alignment horizontal="center"/>
      <protection/>
    </xf>
    <xf numFmtId="4" fontId="2" fillId="0" borderId="23" xfId="48" applyNumberFormat="1" applyFont="1" applyFill="1" applyBorder="1" applyAlignment="1">
      <alignment horizontal="center" wrapText="1"/>
      <protection/>
    </xf>
    <xf numFmtId="0" fontId="68" fillId="0" borderId="0" xfId="0" applyFont="1" applyAlignment="1">
      <alignment/>
    </xf>
    <xf numFmtId="164" fontId="68" fillId="36" borderId="43" xfId="0" applyNumberFormat="1" applyFont="1" applyFill="1" applyBorder="1" applyAlignment="1">
      <alignment/>
    </xf>
    <xf numFmtId="164" fontId="68" fillId="0" borderId="20" xfId="0" applyNumberFormat="1" applyFont="1" applyBorder="1" applyAlignment="1">
      <alignment vertical="center" wrapText="1"/>
    </xf>
    <xf numFmtId="164" fontId="68" fillId="36" borderId="20" xfId="0" applyNumberFormat="1" applyFont="1" applyFill="1" applyBorder="1" applyAlignment="1">
      <alignment vertical="center" wrapText="1"/>
    </xf>
    <xf numFmtId="0" fontId="69" fillId="36" borderId="26" xfId="0" applyFont="1" applyFill="1" applyBorder="1" applyAlignment="1">
      <alignment vertical="center"/>
    </xf>
    <xf numFmtId="164" fontId="69" fillId="36" borderId="26" xfId="0" applyNumberFormat="1" applyFont="1" applyFill="1" applyBorder="1" applyAlignment="1">
      <alignment vertical="center" wrapText="1"/>
    </xf>
    <xf numFmtId="164" fontId="68" fillId="0" borderId="20" xfId="0" applyNumberFormat="1" applyFont="1" applyBorder="1" applyAlignment="1">
      <alignment horizontal="right" vertical="center"/>
    </xf>
    <xf numFmtId="164" fontId="68" fillId="36" borderId="20" xfId="0" applyNumberFormat="1" applyFont="1" applyFill="1" applyBorder="1" applyAlignment="1">
      <alignment horizontal="right" vertical="center"/>
    </xf>
    <xf numFmtId="164" fontId="69" fillId="36" borderId="2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2" fillId="0" borderId="0" xfId="49" applyAlignment="1">
      <alignment wrapText="1"/>
      <protection/>
    </xf>
    <xf numFmtId="0" fontId="2" fillId="0" borderId="0" xfId="49">
      <alignment/>
      <protection/>
    </xf>
    <xf numFmtId="4" fontId="2" fillId="0" borderId="0" xfId="49" applyNumberFormat="1">
      <alignment/>
      <protection/>
    </xf>
    <xf numFmtId="4" fontId="2" fillId="0" borderId="0" xfId="49" applyNumberFormat="1" applyAlignment="1">
      <alignment horizontal="center"/>
      <protection/>
    </xf>
    <xf numFmtId="0" fontId="2" fillId="0" borderId="0" xfId="49" applyFill="1">
      <alignment/>
      <protection/>
    </xf>
    <xf numFmtId="0" fontId="2" fillId="0" borderId="0" xfId="49" applyFill="1" applyAlignment="1">
      <alignment horizontal="left"/>
      <protection/>
    </xf>
    <xf numFmtId="0" fontId="2" fillId="0" borderId="0" xfId="49" applyAlignment="1">
      <alignment horizontal="left"/>
      <protection/>
    </xf>
    <xf numFmtId="0" fontId="19" fillId="0" borderId="44" xfId="49" applyFont="1" applyBorder="1" applyAlignment="1">
      <alignment horizontal="left" wrapText="1"/>
      <protection/>
    </xf>
    <xf numFmtId="0" fontId="19" fillId="0" borderId="0" xfId="49" applyFont="1" applyBorder="1" applyAlignment="1">
      <alignment horizontal="left" wrapText="1"/>
      <protection/>
    </xf>
    <xf numFmtId="0" fontId="2" fillId="0" borderId="0" xfId="49" applyFill="1" applyBorder="1" applyAlignment="1">
      <alignment horizontal="left"/>
      <protection/>
    </xf>
    <xf numFmtId="0" fontId="2" fillId="0" borderId="45" xfId="49" applyFill="1" applyBorder="1" applyAlignment="1">
      <alignment horizontal="left"/>
      <protection/>
    </xf>
    <xf numFmtId="0" fontId="2" fillId="0" borderId="44" xfId="49" applyBorder="1" applyAlignment="1">
      <alignment horizontal="left"/>
      <protection/>
    </xf>
    <xf numFmtId="0" fontId="2" fillId="0" borderId="0" xfId="49" applyBorder="1" applyAlignment="1">
      <alignment horizontal="left"/>
      <protection/>
    </xf>
    <xf numFmtId="0" fontId="19" fillId="0" borderId="20" xfId="49" applyFont="1" applyBorder="1" applyAlignment="1">
      <alignment horizontal="left" vertical="center" wrapText="1"/>
      <protection/>
    </xf>
    <xf numFmtId="0" fontId="19" fillId="0" borderId="20" xfId="49" applyFont="1" applyBorder="1" applyAlignment="1">
      <alignment horizontal="left" wrapText="1"/>
      <protection/>
    </xf>
    <xf numFmtId="0" fontId="19" fillId="0" borderId="28" xfId="49" applyFont="1" applyBorder="1" applyAlignment="1">
      <alignment horizontal="left" wrapText="1"/>
      <protection/>
    </xf>
    <xf numFmtId="0" fontId="2" fillId="36" borderId="20" xfId="49" applyFont="1" applyFill="1" applyBorder="1" applyAlignment="1">
      <alignment horizontal="center" wrapText="1"/>
      <protection/>
    </xf>
    <xf numFmtId="0" fontId="2" fillId="37" borderId="20" xfId="49" applyFont="1" applyFill="1" applyBorder="1" applyAlignment="1">
      <alignment horizontal="center" wrapText="1"/>
      <protection/>
    </xf>
    <xf numFmtId="0" fontId="2" fillId="38" borderId="20" xfId="49" applyFont="1" applyFill="1" applyBorder="1" applyAlignment="1">
      <alignment wrapText="1"/>
      <protection/>
    </xf>
    <xf numFmtId="0" fontId="2" fillId="0" borderId="0" xfId="49" applyFont="1" applyBorder="1" applyAlignment="1">
      <alignment horizontal="left" wrapText="1"/>
      <protection/>
    </xf>
    <xf numFmtId="0" fontId="2" fillId="0" borderId="45" xfId="49" applyBorder="1" applyAlignment="1">
      <alignment horizontal="left"/>
      <protection/>
    </xf>
    <xf numFmtId="0" fontId="2" fillId="0" borderId="46" xfId="49" applyBorder="1" applyAlignment="1">
      <alignment horizontal="left"/>
      <protection/>
    </xf>
    <xf numFmtId="0" fontId="2" fillId="0" borderId="47" xfId="49" applyBorder="1" applyAlignment="1">
      <alignment horizontal="left"/>
      <protection/>
    </xf>
    <xf numFmtId="0" fontId="19" fillId="0" borderId="47" xfId="49" applyFont="1" applyBorder="1" applyAlignment="1">
      <alignment horizontal="left" wrapText="1"/>
      <protection/>
    </xf>
    <xf numFmtId="0" fontId="2" fillId="0" borderId="47" xfId="49" applyFill="1" applyBorder="1" applyAlignment="1">
      <alignment horizontal="left"/>
      <protection/>
    </xf>
    <xf numFmtId="0" fontId="2" fillId="0" borderId="48" xfId="49" applyFill="1" applyBorder="1" applyAlignment="1">
      <alignment horizontal="left"/>
      <protection/>
    </xf>
    <xf numFmtId="0" fontId="71" fillId="36" borderId="49" xfId="49" applyFont="1" applyFill="1" applyBorder="1" applyAlignment="1">
      <alignment vertical="center" wrapText="1"/>
      <protection/>
    </xf>
    <xf numFmtId="0" fontId="2" fillId="36" borderId="20" xfId="49" applyFill="1" applyBorder="1">
      <alignment/>
      <protection/>
    </xf>
    <xf numFmtId="0" fontId="19" fillId="36" borderId="20" xfId="49" applyFont="1" applyFill="1" applyBorder="1">
      <alignment/>
      <protection/>
    </xf>
    <xf numFmtId="0" fontId="19" fillId="36" borderId="20" xfId="49" applyFont="1" applyFill="1" applyBorder="1" applyAlignment="1">
      <alignment wrapText="1"/>
      <protection/>
    </xf>
    <xf numFmtId="0" fontId="2" fillId="0" borderId="0" xfId="49" applyFill="1" applyBorder="1">
      <alignment/>
      <protection/>
    </xf>
    <xf numFmtId="0" fontId="71" fillId="36" borderId="20" xfId="49" applyFont="1" applyFill="1" applyBorder="1" applyAlignment="1">
      <alignment vertical="center" wrapText="1"/>
      <protection/>
    </xf>
    <xf numFmtId="0" fontId="19" fillId="36" borderId="49" xfId="49" applyFont="1" applyFill="1" applyBorder="1" applyAlignment="1">
      <alignment wrapText="1"/>
      <protection/>
    </xf>
    <xf numFmtId="4" fontId="2" fillId="0" borderId="20" xfId="49" applyNumberFormat="1" applyFill="1" applyBorder="1">
      <alignment/>
      <protection/>
    </xf>
    <xf numFmtId="0" fontId="2" fillId="0" borderId="20" xfId="49" applyFill="1" applyBorder="1">
      <alignment/>
      <protection/>
    </xf>
    <xf numFmtId="2" fontId="2" fillId="0" borderId="20" xfId="49" applyNumberFormat="1" applyFill="1" applyBorder="1">
      <alignment/>
      <protection/>
    </xf>
    <xf numFmtId="4" fontId="2" fillId="36" borderId="20" xfId="49" applyNumberFormat="1" applyFill="1" applyBorder="1">
      <alignment/>
      <protection/>
    </xf>
    <xf numFmtId="0" fontId="2" fillId="36" borderId="20" xfId="49" applyFont="1" applyFill="1" applyBorder="1" applyAlignment="1">
      <alignment wrapText="1"/>
      <protection/>
    </xf>
    <xf numFmtId="4" fontId="19" fillId="38" borderId="20" xfId="49" applyNumberFormat="1" applyFont="1" applyFill="1" applyBorder="1">
      <alignment/>
      <protection/>
    </xf>
    <xf numFmtId="0" fontId="2" fillId="36" borderId="20" xfId="49" applyFill="1" applyBorder="1" applyAlignment="1">
      <alignment horizontal="center"/>
      <protection/>
    </xf>
    <xf numFmtId="165" fontId="2" fillId="0" borderId="20" xfId="49" applyNumberFormat="1" applyFill="1" applyBorder="1">
      <alignment/>
      <protection/>
    </xf>
    <xf numFmtId="2" fontId="2" fillId="36" borderId="20" xfId="49" applyNumberFormat="1" applyFill="1" applyBorder="1" applyAlignment="1">
      <alignment horizontal="center"/>
      <protection/>
    </xf>
    <xf numFmtId="0" fontId="2" fillId="36" borderId="20" xfId="49" applyFont="1" applyFill="1" applyBorder="1" applyAlignment="1" quotePrefix="1">
      <alignment wrapText="1"/>
      <protection/>
    </xf>
    <xf numFmtId="0" fontId="72" fillId="36" borderId="49" xfId="49" applyFont="1" applyFill="1" applyBorder="1" applyAlignment="1">
      <alignment wrapText="1"/>
      <protection/>
    </xf>
    <xf numFmtId="4" fontId="72" fillId="36" borderId="20" xfId="49" applyNumberFormat="1" applyFont="1" applyFill="1" applyBorder="1">
      <alignment/>
      <protection/>
    </xf>
    <xf numFmtId="2" fontId="72" fillId="36" borderId="20" xfId="49" applyNumberFormat="1" applyFont="1" applyFill="1" applyBorder="1" applyAlignment="1">
      <alignment horizontal="center"/>
      <protection/>
    </xf>
    <xf numFmtId="4" fontId="72" fillId="36" borderId="20" xfId="49" applyNumberFormat="1" applyFont="1" applyFill="1" applyBorder="1" quotePrefix="1">
      <alignment/>
      <protection/>
    </xf>
    <xf numFmtId="0" fontId="72" fillId="36" borderId="20" xfId="49" applyFont="1" applyFill="1" applyBorder="1" applyAlignment="1">
      <alignment wrapText="1"/>
      <protection/>
    </xf>
    <xf numFmtId="4" fontId="19" fillId="0" borderId="20" xfId="49" applyNumberFormat="1" applyFont="1" applyFill="1" applyBorder="1">
      <alignment/>
      <protection/>
    </xf>
    <xf numFmtId="0" fontId="19" fillId="0" borderId="20" xfId="49" applyFont="1" applyFill="1" applyBorder="1">
      <alignment/>
      <protection/>
    </xf>
    <xf numFmtId="165" fontId="19" fillId="0" borderId="20" xfId="49" applyNumberFormat="1" applyFont="1" applyFill="1" applyBorder="1">
      <alignment/>
      <protection/>
    </xf>
    <xf numFmtId="4" fontId="19" fillId="36" borderId="20" xfId="49" applyNumberFormat="1" applyFont="1" applyFill="1" applyBorder="1">
      <alignment/>
      <protection/>
    </xf>
    <xf numFmtId="0" fontId="19" fillId="36" borderId="20" xfId="49" applyFont="1" applyFill="1" applyBorder="1" applyAlignment="1">
      <alignment horizontal="center"/>
      <protection/>
    </xf>
    <xf numFmtId="0" fontId="19" fillId="0" borderId="0" xfId="49" applyFont="1" applyBorder="1">
      <alignment/>
      <protection/>
    </xf>
    <xf numFmtId="0" fontId="19" fillId="0" borderId="0" xfId="49" applyFont="1">
      <alignment/>
      <protection/>
    </xf>
    <xf numFmtId="0" fontId="19" fillId="0" borderId="0" xfId="49" applyFont="1" applyFill="1">
      <alignment/>
      <protection/>
    </xf>
    <xf numFmtId="4" fontId="19" fillId="36" borderId="20" xfId="49" applyNumberFormat="1" applyFont="1" applyFill="1" applyBorder="1" quotePrefix="1">
      <alignment/>
      <protection/>
    </xf>
    <xf numFmtId="4" fontId="19" fillId="38" borderId="20" xfId="49" applyNumberFormat="1" applyFont="1" applyFill="1" applyBorder="1" applyAlignment="1">
      <alignment horizontal="center"/>
      <protection/>
    </xf>
    <xf numFmtId="0" fontId="19" fillId="36" borderId="20" xfId="49" applyFont="1" applyFill="1" applyBorder="1" applyAlignment="1" quotePrefix="1">
      <alignment wrapText="1"/>
      <protection/>
    </xf>
    <xf numFmtId="0" fontId="2" fillId="36" borderId="0" xfId="49" applyFill="1">
      <alignment/>
      <protection/>
    </xf>
    <xf numFmtId="0" fontId="71" fillId="37" borderId="44" xfId="49" applyFont="1" applyFill="1" applyBorder="1" applyAlignment="1">
      <alignment wrapText="1"/>
      <protection/>
    </xf>
    <xf numFmtId="0" fontId="2" fillId="37" borderId="0" xfId="49" applyFill="1" applyBorder="1">
      <alignment/>
      <protection/>
    </xf>
    <xf numFmtId="4" fontId="2" fillId="37" borderId="0" xfId="49" applyNumberFormat="1" applyFill="1" applyBorder="1">
      <alignment/>
      <protection/>
    </xf>
    <xf numFmtId="4" fontId="2" fillId="37" borderId="0" xfId="49" applyNumberFormat="1" applyFill="1" applyBorder="1" applyAlignment="1">
      <alignment horizontal="center"/>
      <protection/>
    </xf>
    <xf numFmtId="0" fontId="2" fillId="37" borderId="0" xfId="49" applyFill="1" applyBorder="1" applyAlignment="1">
      <alignment wrapText="1"/>
      <protection/>
    </xf>
    <xf numFmtId="4" fontId="71" fillId="37" borderId="0" xfId="49" applyNumberFormat="1" applyFont="1" applyFill="1" applyBorder="1">
      <alignment/>
      <protection/>
    </xf>
    <xf numFmtId="0" fontId="71" fillId="37" borderId="0" xfId="49" applyFont="1" applyFill="1" applyBorder="1" applyAlignment="1">
      <alignment wrapText="1"/>
      <protection/>
    </xf>
    <xf numFmtId="4" fontId="71" fillId="37" borderId="45" xfId="49" applyNumberFormat="1" applyFont="1" applyFill="1" applyBorder="1">
      <alignment/>
      <protection/>
    </xf>
    <xf numFmtId="0" fontId="2" fillId="37" borderId="0" xfId="49" applyFill="1">
      <alignment/>
      <protection/>
    </xf>
    <xf numFmtId="0" fontId="71" fillId="0" borderId="44" xfId="49" applyFont="1" applyFill="1" applyBorder="1" applyAlignment="1">
      <alignment wrapText="1"/>
      <protection/>
    </xf>
    <xf numFmtId="4" fontId="2" fillId="0" borderId="0" xfId="49" applyNumberFormat="1" applyFill="1" applyBorder="1">
      <alignment/>
      <protection/>
    </xf>
    <xf numFmtId="4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 wrapText="1"/>
      <protection/>
    </xf>
    <xf numFmtId="4" fontId="71" fillId="0" borderId="0" xfId="49" applyNumberFormat="1" applyFont="1" applyFill="1" applyBorder="1">
      <alignment/>
      <protection/>
    </xf>
    <xf numFmtId="0" fontId="71" fillId="0" borderId="0" xfId="49" applyFont="1" applyFill="1" applyBorder="1" applyAlignment="1">
      <alignment wrapText="1"/>
      <protection/>
    </xf>
    <xf numFmtId="4" fontId="71" fillId="0" borderId="45" xfId="49" applyNumberFormat="1" applyFont="1" applyFill="1" applyBorder="1">
      <alignment/>
      <protection/>
    </xf>
    <xf numFmtId="0" fontId="2" fillId="36" borderId="20" xfId="49" applyFill="1" applyBorder="1" applyAlignment="1">
      <alignment vertical="center"/>
      <protection/>
    </xf>
    <xf numFmtId="2" fontId="2" fillId="36" borderId="20" xfId="49" applyNumberFormat="1" applyFill="1" applyBorder="1" applyAlignment="1">
      <alignment vertical="center"/>
      <protection/>
    </xf>
    <xf numFmtId="0" fontId="19" fillId="36" borderId="20" xfId="49" applyFont="1" applyFill="1" applyBorder="1" applyAlignment="1">
      <alignment vertical="center"/>
      <protection/>
    </xf>
    <xf numFmtId="0" fontId="14" fillId="36" borderId="20" xfId="49" applyFont="1" applyFill="1" applyBorder="1" applyAlignment="1">
      <alignment horizontal="center" vertical="center" wrapText="1"/>
      <protection/>
    </xf>
    <xf numFmtId="0" fontId="19" fillId="37" borderId="31" xfId="49" applyFont="1" applyFill="1" applyBorder="1" applyAlignment="1">
      <alignment vertical="center" wrapText="1"/>
      <protection/>
    </xf>
    <xf numFmtId="0" fontId="19" fillId="37" borderId="11" xfId="49" applyFont="1" applyFill="1" applyBorder="1" applyAlignment="1">
      <alignment vertical="center" wrapText="1"/>
      <protection/>
    </xf>
    <xf numFmtId="0" fontId="2" fillId="0" borderId="0" xfId="49" applyFill="1" applyBorder="1" applyAlignment="1">
      <alignment vertical="center"/>
      <protection/>
    </xf>
    <xf numFmtId="0" fontId="2" fillId="37" borderId="50" xfId="49" applyFont="1" applyFill="1" applyBorder="1" applyAlignment="1">
      <alignment wrapText="1"/>
      <protection/>
    </xf>
    <xf numFmtId="0" fontId="2" fillId="36" borderId="51" xfId="49" applyFont="1" applyFill="1" applyBorder="1" applyAlignment="1">
      <alignment wrapText="1"/>
      <protection/>
    </xf>
    <xf numFmtId="0" fontId="19" fillId="36" borderId="28" xfId="49" applyFont="1" applyFill="1" applyBorder="1" applyAlignment="1">
      <alignment wrapText="1"/>
      <protection/>
    </xf>
    <xf numFmtId="4" fontId="72" fillId="36" borderId="20" xfId="49" applyNumberFormat="1" applyFont="1" applyFill="1" applyBorder="1" applyAlignment="1" quotePrefix="1">
      <alignment wrapText="1"/>
      <protection/>
    </xf>
    <xf numFmtId="0" fontId="19" fillId="36" borderId="28" xfId="49" applyFont="1" applyFill="1" applyBorder="1">
      <alignment/>
      <protection/>
    </xf>
    <xf numFmtId="4" fontId="72" fillId="36" borderId="51" xfId="49" applyNumberFormat="1" applyFont="1" applyFill="1" applyBorder="1" applyAlignment="1" quotePrefix="1">
      <alignment wrapText="1"/>
      <protection/>
    </xf>
    <xf numFmtId="0" fontId="71" fillId="36" borderId="49" xfId="49" applyFont="1" applyFill="1" applyBorder="1" applyAlignment="1">
      <alignment wrapText="1"/>
      <protection/>
    </xf>
    <xf numFmtId="4" fontId="71" fillId="36" borderId="20" xfId="49" applyNumberFormat="1" applyFont="1" applyFill="1" applyBorder="1" applyAlignment="1">
      <alignment wrapText="1"/>
      <protection/>
    </xf>
    <xf numFmtId="0" fontId="71" fillId="36" borderId="20" xfId="49" applyFont="1" applyFill="1" applyBorder="1" applyAlignment="1">
      <alignment wrapText="1"/>
      <protection/>
    </xf>
    <xf numFmtId="4" fontId="71" fillId="36" borderId="20" xfId="49" applyNumberFormat="1" applyFont="1" applyFill="1" applyBorder="1">
      <alignment/>
      <protection/>
    </xf>
    <xf numFmtId="4" fontId="71" fillId="36" borderId="51" xfId="49" applyNumberFormat="1" applyFont="1" applyFill="1" applyBorder="1" applyAlignment="1">
      <alignment wrapText="1"/>
      <protection/>
    </xf>
    <xf numFmtId="0" fontId="19" fillId="36" borderId="0" xfId="49" applyFont="1" applyFill="1">
      <alignment/>
      <protection/>
    </xf>
    <xf numFmtId="0" fontId="19" fillId="0" borderId="0" xfId="49" applyFont="1" applyAlignment="1">
      <alignment wrapText="1"/>
      <protection/>
    </xf>
    <xf numFmtId="4" fontId="19" fillId="0" borderId="0" xfId="49" applyNumberFormat="1" applyFont="1">
      <alignment/>
      <protection/>
    </xf>
    <xf numFmtId="4" fontId="19" fillId="0" borderId="0" xfId="49" applyNumberFormat="1" applyFont="1" applyAlignment="1">
      <alignment horizontal="center"/>
      <protection/>
    </xf>
    <xf numFmtId="0" fontId="68" fillId="0" borderId="52" xfId="0" applyFont="1" applyBorder="1" applyAlignment="1">
      <alignment/>
    </xf>
    <xf numFmtId="0" fontId="68" fillId="0" borderId="53" xfId="0" applyFont="1" applyBorder="1" applyAlignment="1">
      <alignment/>
    </xf>
    <xf numFmtId="0" fontId="69" fillId="0" borderId="53" xfId="0" applyFont="1" applyBorder="1" applyAlignment="1">
      <alignment/>
    </xf>
    <xf numFmtId="164" fontId="68" fillId="0" borderId="54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Border="1" applyAlignment="1">
      <alignment/>
    </xf>
    <xf numFmtId="43" fontId="20" fillId="0" borderId="20" xfId="46" applyFont="1" applyFill="1" applyBorder="1" applyAlignment="1">
      <alignment horizontal="center" vertical="center" wrapText="1"/>
    </xf>
    <xf numFmtId="43" fontId="1" fillId="0" borderId="0" xfId="46" applyFont="1" applyAlignment="1">
      <alignment/>
    </xf>
    <xf numFmtId="0" fontId="12" fillId="0" borderId="0" xfId="48" applyFont="1" applyAlignment="1">
      <alignment horizontal="right"/>
      <protection/>
    </xf>
    <xf numFmtId="0" fontId="69" fillId="0" borderId="55" xfId="0" applyFont="1" applyBorder="1" applyAlignment="1">
      <alignment vertical="center"/>
    </xf>
    <xf numFmtId="164" fontId="69" fillId="0" borderId="56" xfId="0" applyNumberFormat="1" applyFont="1" applyBorder="1" applyAlignment="1">
      <alignment vertical="center" wrapText="1"/>
    </xf>
    <xf numFmtId="164" fontId="68" fillId="0" borderId="57" xfId="0" applyNumberFormat="1" applyFont="1" applyBorder="1" applyAlignment="1">
      <alignment horizontal="right" vertical="center"/>
    </xf>
    <xf numFmtId="164" fontId="68" fillId="0" borderId="57" xfId="0" applyNumberFormat="1" applyFont="1" applyBorder="1" applyAlignment="1">
      <alignment vertical="center" wrapText="1"/>
    </xf>
    <xf numFmtId="164" fontId="68" fillId="0" borderId="58" xfId="0" applyNumberFormat="1" applyFont="1" applyBorder="1" applyAlignment="1">
      <alignment horizontal="right" vertical="center"/>
    </xf>
    <xf numFmtId="0" fontId="68" fillId="0" borderId="59" xfId="0" applyFont="1" applyBorder="1" applyAlignment="1">
      <alignment vertical="center"/>
    </xf>
    <xf numFmtId="164" fontId="68" fillId="0" borderId="60" xfId="0" applyNumberFormat="1" applyFont="1" applyBorder="1" applyAlignment="1">
      <alignment vertical="center" wrapText="1"/>
    </xf>
    <xf numFmtId="0" fontId="68" fillId="0" borderId="61" xfId="0" applyFont="1" applyBorder="1" applyAlignment="1">
      <alignment/>
    </xf>
    <xf numFmtId="0" fontId="68" fillId="0" borderId="62" xfId="0" applyFont="1" applyBorder="1" applyAlignment="1">
      <alignment vertical="center"/>
    </xf>
    <xf numFmtId="164" fontId="69" fillId="0" borderId="63" xfId="0" applyNumberFormat="1" applyFont="1" applyBorder="1" applyAlignment="1">
      <alignment horizontal="right" vertical="center"/>
    </xf>
    <xf numFmtId="164" fontId="68" fillId="0" borderId="64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64" fillId="0" borderId="65" xfId="0" applyFont="1" applyBorder="1" applyAlignment="1">
      <alignment horizontal="center"/>
    </xf>
    <xf numFmtId="0" fontId="64" fillId="0" borderId="66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64" fillId="0" borderId="68" xfId="0" applyFont="1" applyBorder="1" applyAlignment="1">
      <alignment horizontal="left"/>
    </xf>
    <xf numFmtId="164" fontId="0" fillId="0" borderId="26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39" borderId="20" xfId="0" applyNumberFormat="1" applyFill="1" applyBorder="1" applyAlignment="1">
      <alignment/>
    </xf>
    <xf numFmtId="164" fontId="0" fillId="16" borderId="26" xfId="0" applyNumberFormat="1" applyFill="1" applyBorder="1" applyAlignment="1">
      <alignment/>
    </xf>
    <xf numFmtId="0" fontId="64" fillId="0" borderId="69" xfId="0" applyFont="1" applyBorder="1" applyAlignment="1">
      <alignment horizontal="center"/>
    </xf>
    <xf numFmtId="164" fontId="64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164" fontId="0" fillId="0" borderId="0" xfId="0" applyNumberFormat="1" applyAlignment="1">
      <alignment/>
    </xf>
    <xf numFmtId="0" fontId="69" fillId="36" borderId="70" xfId="0" applyFont="1" applyFill="1" applyBorder="1" applyAlignment="1">
      <alignment wrapText="1"/>
    </xf>
    <xf numFmtId="0" fontId="69" fillId="36" borderId="71" xfId="0" applyFont="1" applyFill="1" applyBorder="1" applyAlignment="1">
      <alignment wrapText="1"/>
    </xf>
    <xf numFmtId="164" fontId="68" fillId="36" borderId="72" xfId="0" applyNumberFormat="1" applyFont="1" applyFill="1" applyBorder="1" applyAlignment="1">
      <alignment/>
    </xf>
    <xf numFmtId="0" fontId="19" fillId="0" borderId="47" xfId="0" applyFont="1" applyBorder="1" applyAlignment="1">
      <alignment/>
    </xf>
    <xf numFmtId="168" fontId="19" fillId="0" borderId="47" xfId="0" applyNumberFormat="1" applyFont="1" applyBorder="1" applyAlignment="1">
      <alignment/>
    </xf>
    <xf numFmtId="4" fontId="0" fillId="0" borderId="47" xfId="0" applyNumberFormat="1" applyBorder="1" applyAlignment="1">
      <alignment horizontal="center"/>
    </xf>
    <xf numFmtId="0" fontId="0" fillId="0" borderId="47" xfId="0" applyBorder="1" applyAlignment="1">
      <alignment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40" borderId="46" xfId="0" applyFont="1" applyFill="1" applyBorder="1" applyAlignment="1">
      <alignment/>
    </xf>
    <xf numFmtId="168" fontId="19" fillId="40" borderId="47" xfId="0" applyNumberFormat="1" applyFont="1" applyFill="1" applyBorder="1" applyAlignment="1">
      <alignment/>
    </xf>
    <xf numFmtId="0" fontId="69" fillId="0" borderId="0" xfId="0" applyFont="1" applyBorder="1" applyAlignment="1">
      <alignment horizontal="left" vertical="top" wrapText="1"/>
    </xf>
    <xf numFmtId="0" fontId="69" fillId="0" borderId="12" xfId="0" applyFont="1" applyBorder="1" applyAlignment="1">
      <alignment vertical="top"/>
    </xf>
    <xf numFmtId="0" fontId="73" fillId="0" borderId="20" xfId="0" applyFont="1" applyBorder="1" applyAlignment="1">
      <alignment vertical="center"/>
    </xf>
    <xf numFmtId="0" fontId="74" fillId="36" borderId="20" xfId="0" applyFont="1" applyFill="1" applyBorder="1" applyAlignment="1">
      <alignment vertical="center"/>
    </xf>
    <xf numFmtId="0" fontId="74" fillId="0" borderId="20" xfId="0" applyFont="1" applyBorder="1" applyAlignment="1">
      <alignment vertical="center"/>
    </xf>
    <xf numFmtId="0" fontId="74" fillId="0" borderId="57" xfId="0" applyFont="1" applyBorder="1" applyAlignment="1">
      <alignment vertical="center"/>
    </xf>
    <xf numFmtId="164" fontId="68" fillId="0" borderId="73" xfId="0" applyNumberFormat="1" applyFont="1" applyBorder="1" applyAlignment="1">
      <alignment/>
    </xf>
    <xf numFmtId="0" fontId="64" fillId="0" borderId="73" xfId="0" applyFont="1" applyBorder="1" applyAlignment="1">
      <alignment horizontal="center"/>
    </xf>
    <xf numFmtId="10" fontId="75" fillId="0" borderId="74" xfId="0" applyNumberFormat="1" applyFont="1" applyBorder="1" applyAlignment="1">
      <alignment/>
    </xf>
    <xf numFmtId="0" fontId="27" fillId="0" borderId="0" xfId="0" applyFont="1" applyBorder="1" applyAlignment="1">
      <alignment horizontal="left" vertical="top" wrapText="1"/>
    </xf>
    <xf numFmtId="164" fontId="68" fillId="0" borderId="0" xfId="0" applyNumberFormat="1" applyFont="1" applyFill="1" applyBorder="1" applyAlignment="1">
      <alignment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top"/>
    </xf>
    <xf numFmtId="0" fontId="69" fillId="36" borderId="26" xfId="0" applyFont="1" applyFill="1" applyBorder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27" fillId="0" borderId="75" xfId="0" applyFont="1" applyBorder="1" applyAlignment="1">
      <alignment horizontal="left" vertical="top" wrapText="1"/>
    </xf>
    <xf numFmtId="0" fontId="69" fillId="0" borderId="76" xfId="0" applyFont="1" applyBorder="1" applyAlignment="1">
      <alignment horizontal="left" vertical="top" wrapText="1"/>
    </xf>
    <xf numFmtId="0" fontId="69" fillId="0" borderId="77" xfId="0" applyFont="1" applyBorder="1" applyAlignment="1">
      <alignment horizontal="left" vertical="top" wrapText="1"/>
    </xf>
    <xf numFmtId="0" fontId="73" fillId="0" borderId="78" xfId="0" applyFont="1" applyBorder="1" applyAlignment="1">
      <alignment horizontal="left" wrapText="1"/>
    </xf>
    <xf numFmtId="0" fontId="73" fillId="0" borderId="73" xfId="0" applyFont="1" applyBorder="1" applyAlignment="1">
      <alignment horizontal="left" wrapText="1"/>
    </xf>
    <xf numFmtId="0" fontId="76" fillId="0" borderId="0" xfId="0" applyFont="1" applyBorder="1" applyAlignment="1">
      <alignment horizontal="center"/>
    </xf>
    <xf numFmtId="0" fontId="69" fillId="0" borderId="31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77" fillId="0" borderId="11" xfId="0" applyFont="1" applyBorder="1" applyAlignment="1">
      <alignment horizontal="left" wrapText="1"/>
    </xf>
    <xf numFmtId="0" fontId="77" fillId="0" borderId="38" xfId="0" applyFont="1" applyBorder="1" applyAlignment="1">
      <alignment horizontal="left" wrapText="1"/>
    </xf>
    <xf numFmtId="0" fontId="2" fillId="37" borderId="44" xfId="0" applyFont="1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45" xfId="0" applyFill="1" applyBorder="1" applyAlignment="1">
      <alignment horizontal="left" vertical="center" wrapText="1"/>
    </xf>
    <xf numFmtId="0" fontId="28" fillId="0" borderId="79" xfId="49" applyFont="1" applyBorder="1" applyAlignment="1">
      <alignment horizontal="center" wrapText="1"/>
      <protection/>
    </xf>
    <xf numFmtId="0" fontId="28" fillId="0" borderId="80" xfId="49" applyFont="1" applyBorder="1" applyAlignment="1">
      <alignment horizontal="center" wrapText="1"/>
      <protection/>
    </xf>
    <xf numFmtId="0" fontId="28" fillId="0" borderId="67" xfId="49" applyFont="1" applyBorder="1" applyAlignment="1">
      <alignment horizontal="center" wrapText="1"/>
      <protection/>
    </xf>
    <xf numFmtId="0" fontId="28" fillId="0" borderId="81" xfId="49" applyFont="1" applyBorder="1" applyAlignment="1">
      <alignment horizontal="center" wrapText="1"/>
      <protection/>
    </xf>
    <xf numFmtId="0" fontId="28" fillId="0" borderId="82" xfId="49" applyFont="1" applyBorder="1" applyAlignment="1">
      <alignment horizontal="center" wrapText="1"/>
      <protection/>
    </xf>
    <xf numFmtId="0" fontId="28" fillId="0" borderId="83" xfId="49" applyFont="1" applyBorder="1" applyAlignment="1">
      <alignment horizontal="center" wrapText="1"/>
      <protection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48" applyFont="1" applyAlignment="1">
      <alignment/>
      <protection/>
    </xf>
    <xf numFmtId="0" fontId="2" fillId="0" borderId="0" xfId="48" applyFont="1" applyAlignment="1">
      <alignment/>
      <protection/>
    </xf>
    <xf numFmtId="0" fontId="9" fillId="0" borderId="0" xfId="48" applyFont="1" applyAlignment="1">
      <alignment horizontal="left" vertical="center" wrapText="1"/>
      <protection/>
    </xf>
    <xf numFmtId="0" fontId="11" fillId="0" borderId="0" xfId="48" applyFont="1" applyAlignment="1">
      <alignment horizontal="left" wrapText="1"/>
      <protection/>
    </xf>
    <xf numFmtId="0" fontId="11" fillId="0" borderId="0" xfId="48" applyFont="1" applyAlignment="1">
      <alignment wrapText="1"/>
      <protection/>
    </xf>
    <xf numFmtId="0" fontId="12" fillId="0" borderId="31" xfId="48" applyFont="1" applyFill="1" applyBorder="1" applyAlignment="1">
      <alignment horizontal="center" wrapText="1"/>
      <protection/>
    </xf>
    <xf numFmtId="0" fontId="2" fillId="0" borderId="38" xfId="48" applyBorder="1" applyAlignment="1">
      <alignment horizontal="center"/>
      <protection/>
    </xf>
    <xf numFmtId="0" fontId="78" fillId="40" borderId="79" xfId="48" applyFont="1" applyFill="1" applyBorder="1" applyAlignment="1">
      <alignment horizontal="justify"/>
      <protection/>
    </xf>
    <xf numFmtId="0" fontId="78" fillId="40" borderId="80" xfId="48" applyFont="1" applyFill="1" applyBorder="1" applyAlignment="1">
      <alignment horizontal="justify"/>
      <protection/>
    </xf>
    <xf numFmtId="0" fontId="11" fillId="40" borderId="80" xfId="48" applyFont="1" applyFill="1" applyBorder="1" applyAlignment="1">
      <alignment/>
      <protection/>
    </xf>
    <xf numFmtId="0" fontId="11" fillId="40" borderId="67" xfId="48" applyFont="1" applyFill="1" applyBorder="1" applyAlignme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ive.it/Documents%20and%20Settings\dallanto\Impostazioni%20locali\Temporary%20Internet%20Files\Content.IE5\NSR846S8\Tab%20StipPers_aggiornata%204,28%%20DOC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tip_docenti 2007"/>
      <sheetName val="TabStip_docenti 2005 e 2006"/>
      <sheetName val="TabStip_docenti esatta 02 03 04"/>
    </sheetNames>
    <sheetDataSet>
      <sheetData sheetId="2">
        <row r="155">
          <cell r="H155">
            <v>0</v>
          </cell>
          <cell r="I155">
            <v>8648.37738003</v>
          </cell>
          <cell r="J155">
            <v>0</v>
          </cell>
        </row>
        <row r="156">
          <cell r="H156">
            <v>0</v>
          </cell>
          <cell r="I156">
            <v>9191.363236200003</v>
          </cell>
          <cell r="J156">
            <v>6615.310666290001</v>
          </cell>
        </row>
        <row r="157">
          <cell r="H157">
            <v>0</v>
          </cell>
          <cell r="I157">
            <v>8766.410084175</v>
          </cell>
          <cell r="J157">
            <v>0</v>
          </cell>
        </row>
        <row r="158">
          <cell r="H158">
            <v>0</v>
          </cell>
          <cell r="I158">
            <v>9356.61527208</v>
          </cell>
          <cell r="J158">
            <v>6615.310666290001</v>
          </cell>
        </row>
        <row r="159">
          <cell r="H159">
            <v>1799.5117530450002</v>
          </cell>
          <cell r="I159">
            <v>8766.410084175</v>
          </cell>
          <cell r="J159">
            <v>0</v>
          </cell>
        </row>
        <row r="160">
          <cell r="H160">
            <v>2485.6868732850003</v>
          </cell>
          <cell r="I160">
            <v>9356.61527208</v>
          </cell>
          <cell r="J160">
            <v>7717.855499475001</v>
          </cell>
        </row>
        <row r="161">
          <cell r="H161">
            <v>3599.0235060900004</v>
          </cell>
          <cell r="I161">
            <v>8766.410084175</v>
          </cell>
          <cell r="J161">
            <v>0</v>
          </cell>
        </row>
        <row r="162">
          <cell r="H162">
            <v>4971.373746570001</v>
          </cell>
          <cell r="I162">
            <v>9356.61527208</v>
          </cell>
          <cell r="J162">
            <v>7717.855499475001</v>
          </cell>
        </row>
        <row r="163">
          <cell r="H163">
            <v>5398.535259135</v>
          </cell>
          <cell r="I163">
            <v>8766.410084175</v>
          </cell>
          <cell r="J163">
            <v>0</v>
          </cell>
        </row>
        <row r="164">
          <cell r="H164">
            <v>7457.060619855001</v>
          </cell>
          <cell r="I164">
            <v>9356.61527208</v>
          </cell>
          <cell r="J164">
            <v>8820.410749455</v>
          </cell>
        </row>
        <row r="165">
          <cell r="H165">
            <v>7198.047012180001</v>
          </cell>
          <cell r="I165">
            <v>8766.410084175</v>
          </cell>
          <cell r="J165">
            <v>0</v>
          </cell>
        </row>
        <row r="166">
          <cell r="H166">
            <v>9942.747493140001</v>
          </cell>
          <cell r="I166">
            <v>9356.61527208</v>
          </cell>
          <cell r="J166">
            <v>8820.410749455</v>
          </cell>
        </row>
        <row r="167">
          <cell r="H167">
            <v>8997.558765225</v>
          </cell>
          <cell r="I167">
            <v>8766.410084175</v>
          </cell>
          <cell r="J167">
            <v>0</v>
          </cell>
        </row>
        <row r="168">
          <cell r="H168">
            <v>12428.434366425001</v>
          </cell>
          <cell r="I168">
            <v>9356.61527208</v>
          </cell>
          <cell r="J168">
            <v>9922.955582640001</v>
          </cell>
        </row>
        <row r="169">
          <cell r="H169">
            <v>10797.07051827</v>
          </cell>
          <cell r="I169">
            <v>8766.410084175</v>
          </cell>
          <cell r="J169">
            <v>0</v>
          </cell>
        </row>
        <row r="170">
          <cell r="H170">
            <v>14914.121239710003</v>
          </cell>
          <cell r="I170">
            <v>9356.61527208</v>
          </cell>
          <cell r="J170">
            <v>11025.51083262</v>
          </cell>
        </row>
        <row r="171">
          <cell r="H171">
            <v>17673.238564950003</v>
          </cell>
          <cell r="I171">
            <v>9356.61527208</v>
          </cell>
          <cell r="J171">
            <v>11025.51083262</v>
          </cell>
        </row>
        <row r="172">
          <cell r="H172">
            <v>20432.35589019</v>
          </cell>
          <cell r="I172">
            <v>9356.61527208</v>
          </cell>
          <cell r="J172">
            <v>11025.51083262</v>
          </cell>
        </row>
        <row r="173">
          <cell r="H173">
            <v>23191.462798635002</v>
          </cell>
          <cell r="I173">
            <v>9356.61527208</v>
          </cell>
          <cell r="J173">
            <v>11025.51083262</v>
          </cell>
        </row>
        <row r="174">
          <cell r="H174">
            <v>25950.580123875003</v>
          </cell>
          <cell r="I174">
            <v>9356.61527208</v>
          </cell>
          <cell r="J174">
            <v>11025.51083262</v>
          </cell>
        </row>
        <row r="175">
          <cell r="H175">
            <v>28709.687032320006</v>
          </cell>
          <cell r="I175">
            <v>9356.61527208</v>
          </cell>
          <cell r="J175">
            <v>11025.51083262</v>
          </cell>
        </row>
        <row r="176">
          <cell r="H176">
            <v>31468.804357560002</v>
          </cell>
          <cell r="I176">
            <v>9356.61527208</v>
          </cell>
          <cell r="J176">
            <v>11025.51083262</v>
          </cell>
        </row>
        <row r="177">
          <cell r="H177">
            <v>34227.9216828</v>
          </cell>
          <cell r="I177">
            <v>9356.61527208</v>
          </cell>
          <cell r="J177">
            <v>11025.51083262</v>
          </cell>
        </row>
        <row r="178">
          <cell r="H178">
            <v>36987.028591245005</v>
          </cell>
          <cell r="I178">
            <v>9356.61527208</v>
          </cell>
          <cell r="J178">
            <v>11025.51083262</v>
          </cell>
        </row>
        <row r="179">
          <cell r="H179">
            <v>0</v>
          </cell>
          <cell r="I179">
            <v>8241.132779505002</v>
          </cell>
          <cell r="J179">
            <v>0</v>
          </cell>
        </row>
        <row r="180">
          <cell r="H180">
            <v>0</v>
          </cell>
          <cell r="I180">
            <v>8621.210378670003</v>
          </cell>
          <cell r="J180">
            <v>4630.713299685001</v>
          </cell>
        </row>
        <row r="181">
          <cell r="H181">
            <v>0</v>
          </cell>
          <cell r="I181">
            <v>8323.769214240001</v>
          </cell>
          <cell r="J181">
            <v>0</v>
          </cell>
        </row>
        <row r="182">
          <cell r="H182">
            <v>0</v>
          </cell>
          <cell r="I182">
            <v>8736.888887145002</v>
          </cell>
          <cell r="J182">
            <v>4630.713299685001</v>
          </cell>
        </row>
        <row r="183">
          <cell r="H183">
            <v>1284.8804128650002</v>
          </cell>
          <cell r="I183">
            <v>8323.769214240001</v>
          </cell>
          <cell r="J183">
            <v>0</v>
          </cell>
        </row>
        <row r="184">
          <cell r="H184">
            <v>1765.1988303150001</v>
          </cell>
          <cell r="I184">
            <v>8736.888887145002</v>
          </cell>
          <cell r="J184">
            <v>5402.50405803</v>
          </cell>
        </row>
        <row r="185">
          <cell r="H185">
            <v>2569.7608257300003</v>
          </cell>
          <cell r="I185">
            <v>8323.769214240001</v>
          </cell>
          <cell r="J185">
            <v>0</v>
          </cell>
        </row>
        <row r="186">
          <cell r="H186">
            <v>3530.3976606300002</v>
          </cell>
          <cell r="I186">
            <v>8736.888887145002</v>
          </cell>
          <cell r="J186">
            <v>5402.50405803</v>
          </cell>
        </row>
        <row r="187">
          <cell r="H187">
            <v>3854.6412385950002</v>
          </cell>
          <cell r="I187">
            <v>8323.769214240001</v>
          </cell>
          <cell r="J187">
            <v>0</v>
          </cell>
        </row>
        <row r="188">
          <cell r="H188">
            <v>5295.596490945</v>
          </cell>
          <cell r="I188">
            <v>8736.888887145002</v>
          </cell>
          <cell r="J188">
            <v>6174.284399580001</v>
          </cell>
        </row>
        <row r="189">
          <cell r="H189">
            <v>5139.521651460001</v>
          </cell>
          <cell r="I189">
            <v>8323.769214240001</v>
          </cell>
          <cell r="J189">
            <v>0</v>
          </cell>
        </row>
        <row r="190">
          <cell r="H190">
            <v>7060.7953212600005</v>
          </cell>
          <cell r="I190">
            <v>8736.888887145002</v>
          </cell>
          <cell r="J190">
            <v>6174.284399580001</v>
          </cell>
        </row>
        <row r="191">
          <cell r="H191">
            <v>6424.4020643250005</v>
          </cell>
          <cell r="I191">
            <v>8323.769214240001</v>
          </cell>
          <cell r="J191">
            <v>0</v>
          </cell>
        </row>
        <row r="192">
          <cell r="H192">
            <v>8825.994151575002</v>
          </cell>
          <cell r="I192">
            <v>8736.888887145002</v>
          </cell>
          <cell r="J192">
            <v>6946.075157925</v>
          </cell>
        </row>
        <row r="193">
          <cell r="H193">
            <v>7709.2824771900005</v>
          </cell>
          <cell r="I193">
            <v>8323.769214240001</v>
          </cell>
          <cell r="J193">
            <v>0</v>
          </cell>
        </row>
        <row r="194">
          <cell r="H194">
            <v>10591.19298189</v>
          </cell>
          <cell r="I194">
            <v>8736.888887145002</v>
          </cell>
          <cell r="J194">
            <v>7717.855499475001</v>
          </cell>
        </row>
        <row r="195">
          <cell r="H195">
            <v>12550.581704595</v>
          </cell>
          <cell r="I195">
            <v>8736.888887145002</v>
          </cell>
          <cell r="J195">
            <v>7717.855499475001</v>
          </cell>
        </row>
        <row r="196">
          <cell r="H196">
            <v>14509.94959371</v>
          </cell>
          <cell r="I196">
            <v>8736.888887145002</v>
          </cell>
          <cell r="J196">
            <v>7717.855499475001</v>
          </cell>
        </row>
        <row r="197">
          <cell r="H197">
            <v>16469.327899620002</v>
          </cell>
          <cell r="I197">
            <v>8736.888887145002</v>
          </cell>
          <cell r="J197">
            <v>7717.855499475001</v>
          </cell>
        </row>
        <row r="198">
          <cell r="H198">
            <v>18428.695788735004</v>
          </cell>
          <cell r="I198">
            <v>8736.888887145002</v>
          </cell>
          <cell r="J198">
            <v>7717.855499475001</v>
          </cell>
        </row>
        <row r="199">
          <cell r="H199">
            <v>20388.074094645002</v>
          </cell>
          <cell r="I199">
            <v>8736.888887145002</v>
          </cell>
          <cell r="J199">
            <v>7717.855499475001</v>
          </cell>
        </row>
        <row r="200">
          <cell r="H200">
            <v>22347.441983760003</v>
          </cell>
          <cell r="I200">
            <v>8736.888887145002</v>
          </cell>
          <cell r="J200">
            <v>7717.855499475001</v>
          </cell>
        </row>
        <row r="201">
          <cell r="H201">
            <v>24306.820289670002</v>
          </cell>
          <cell r="I201">
            <v>8736.888887145002</v>
          </cell>
          <cell r="J201">
            <v>7717.855499475001</v>
          </cell>
        </row>
        <row r="202">
          <cell r="H202">
            <v>26266.188178785</v>
          </cell>
          <cell r="I202">
            <v>8736.888887145002</v>
          </cell>
          <cell r="J202">
            <v>7717.855499475001</v>
          </cell>
        </row>
        <row r="203">
          <cell r="H203">
            <v>0</v>
          </cell>
          <cell r="I203">
            <v>7951.702130430001</v>
          </cell>
          <cell r="J203">
            <v>0</v>
          </cell>
        </row>
        <row r="204">
          <cell r="H204">
            <v>0</v>
          </cell>
          <cell r="I204">
            <v>6034.847265069002</v>
          </cell>
          <cell r="J204">
            <v>3241.499309779501</v>
          </cell>
        </row>
        <row r="205">
          <cell r="H205">
            <v>0</v>
          </cell>
          <cell r="I205">
            <v>8026.015545960001</v>
          </cell>
          <cell r="J205">
            <v>0</v>
          </cell>
        </row>
        <row r="206">
          <cell r="H206">
            <v>0</v>
          </cell>
          <cell r="I206">
            <v>8241.518200920002</v>
          </cell>
          <cell r="J206">
            <v>3241.4982681000006</v>
          </cell>
        </row>
        <row r="207">
          <cell r="H207">
            <v>924.6363913800001</v>
          </cell>
          <cell r="I207">
            <v>8026.015545960001</v>
          </cell>
          <cell r="J207">
            <v>0</v>
          </cell>
        </row>
        <row r="208">
          <cell r="H208">
            <v>1260.8592835950003</v>
          </cell>
          <cell r="I208">
            <v>8241.518200920002</v>
          </cell>
          <cell r="J208">
            <v>3781.744507185</v>
          </cell>
        </row>
        <row r="209">
          <cell r="H209">
            <v>1849.2727827600002</v>
          </cell>
          <cell r="I209">
            <v>8026.015545960001</v>
          </cell>
          <cell r="J209">
            <v>0</v>
          </cell>
        </row>
        <row r="210">
          <cell r="H210">
            <v>2521.7185671900006</v>
          </cell>
          <cell r="I210">
            <v>8241.518200920002</v>
          </cell>
          <cell r="J210">
            <v>3781.744507185</v>
          </cell>
        </row>
        <row r="211">
          <cell r="H211">
            <v>2773.9091741400002</v>
          </cell>
          <cell r="I211">
            <v>8026.015545960001</v>
          </cell>
          <cell r="J211">
            <v>0</v>
          </cell>
        </row>
        <row r="212">
          <cell r="H212">
            <v>3782.577850785001</v>
          </cell>
          <cell r="I212">
            <v>8241.518200920002</v>
          </cell>
          <cell r="J212">
            <v>4322.001163065001</v>
          </cell>
        </row>
        <row r="213">
          <cell r="H213">
            <v>3698.5455655200003</v>
          </cell>
          <cell r="I213">
            <v>8026.015545960001</v>
          </cell>
          <cell r="J213">
            <v>0</v>
          </cell>
        </row>
        <row r="214">
          <cell r="H214">
            <v>5043.437134380001</v>
          </cell>
          <cell r="I214">
            <v>8241.518200920002</v>
          </cell>
          <cell r="J214">
            <v>4322.001163065001</v>
          </cell>
        </row>
        <row r="215">
          <cell r="H215">
            <v>4623.1819569</v>
          </cell>
          <cell r="I215">
            <v>8026.015545960001</v>
          </cell>
          <cell r="J215">
            <v>0</v>
          </cell>
        </row>
        <row r="216">
          <cell r="H216">
            <v>6304.296417975001</v>
          </cell>
          <cell r="I216">
            <v>8241.518200920002</v>
          </cell>
          <cell r="J216">
            <v>4862.24740215</v>
          </cell>
        </row>
        <row r="217">
          <cell r="H217">
            <v>5547.8183482800005</v>
          </cell>
          <cell r="I217">
            <v>8026.015545960001</v>
          </cell>
          <cell r="J217">
            <v>0</v>
          </cell>
        </row>
        <row r="218">
          <cell r="H218">
            <v>7565.155701570002</v>
          </cell>
          <cell r="I218">
            <v>8241.518200920002</v>
          </cell>
          <cell r="J218">
            <v>5402.50405803</v>
          </cell>
        </row>
        <row r="219">
          <cell r="H219">
            <v>8964.714610590003</v>
          </cell>
          <cell r="I219">
            <v>8241.518200920002</v>
          </cell>
          <cell r="J219">
            <v>5402.50405803</v>
          </cell>
        </row>
        <row r="220">
          <cell r="H220">
            <v>10364.27351961</v>
          </cell>
          <cell r="I220">
            <v>8241.518200920002</v>
          </cell>
          <cell r="J220">
            <v>5402.50405803</v>
          </cell>
        </row>
        <row r="221">
          <cell r="H221">
            <v>11763.822011835002</v>
          </cell>
          <cell r="I221">
            <v>8241.518200920002</v>
          </cell>
          <cell r="J221">
            <v>5402.50405803</v>
          </cell>
        </row>
        <row r="222">
          <cell r="H222">
            <v>13163.380920855001</v>
          </cell>
          <cell r="I222">
            <v>8241.518200920002</v>
          </cell>
          <cell r="J222">
            <v>5402.50405803</v>
          </cell>
        </row>
        <row r="223">
          <cell r="H223">
            <v>14562.939829875002</v>
          </cell>
          <cell r="I223">
            <v>8241.518200920002</v>
          </cell>
          <cell r="J223">
            <v>5402.50405803</v>
          </cell>
        </row>
        <row r="224">
          <cell r="H224">
            <v>15962.4883221</v>
          </cell>
          <cell r="I224">
            <v>8241.518200920002</v>
          </cell>
          <cell r="J224">
            <v>5402.50405803</v>
          </cell>
        </row>
        <row r="225">
          <cell r="H225">
            <v>17362.04723112</v>
          </cell>
          <cell r="I225">
            <v>8241.518200920002</v>
          </cell>
          <cell r="J225">
            <v>5402.50405803</v>
          </cell>
        </row>
        <row r="226">
          <cell r="H226">
            <v>18761.60614014</v>
          </cell>
          <cell r="I226">
            <v>8241.518200920002</v>
          </cell>
          <cell r="J226">
            <v>5402.50405803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14.00390625" style="0" customWidth="1"/>
    <col min="2" max="2" width="16.421875" style="0" customWidth="1"/>
    <col min="3" max="3" width="80.57421875" style="0" customWidth="1"/>
    <col min="4" max="4" width="12.57421875" style="0" customWidth="1"/>
    <col min="5" max="5" width="11.7109375" style="0" customWidth="1"/>
    <col min="8" max="8" width="14.00390625" style="0" customWidth="1"/>
  </cols>
  <sheetData>
    <row r="1" ht="20.25" customHeight="1" thickBot="1">
      <c r="A1" s="213" t="s">
        <v>278</v>
      </c>
    </row>
    <row r="2" spans="1:5" s="204" customFormat="1" ht="33.75" customHeight="1" thickBot="1">
      <c r="A2" s="314"/>
      <c r="B2" s="313"/>
      <c r="C2" s="312"/>
      <c r="D2" s="347" t="s">
        <v>263</v>
      </c>
      <c r="E2" s="348" t="s">
        <v>286</v>
      </c>
    </row>
    <row r="3" spans="1:5" s="204" customFormat="1" ht="51.75" customHeight="1" thickBot="1" thickTop="1">
      <c r="A3" s="374" t="s">
        <v>296</v>
      </c>
      <c r="B3" s="375"/>
      <c r="C3" s="376"/>
      <c r="D3" s="205">
        <f>+B12</f>
        <v>0</v>
      </c>
      <c r="E3" s="349">
        <f>+D3-B6+B14</f>
        <v>0</v>
      </c>
    </row>
    <row r="4" spans="1:5" s="204" customFormat="1" ht="12.75" customHeight="1" thickTop="1">
      <c r="A4" s="367"/>
      <c r="B4" s="358"/>
      <c r="C4" s="358"/>
      <c r="D4" s="368"/>
      <c r="E4" s="368"/>
    </row>
    <row r="5" spans="1:3" s="204" customFormat="1" ht="15">
      <c r="A5" s="369" t="s">
        <v>0</v>
      </c>
      <c r="B5" s="369" t="s">
        <v>1</v>
      </c>
      <c r="C5" s="370" t="s">
        <v>238</v>
      </c>
    </row>
    <row r="6" spans="1:10" s="204" customFormat="1" ht="30.75" customHeight="1" thickBot="1">
      <c r="A6" s="360" t="s">
        <v>264</v>
      </c>
      <c r="B6" s="210"/>
      <c r="C6" s="206" t="s">
        <v>310</v>
      </c>
      <c r="F6" s="379" t="s">
        <v>305</v>
      </c>
      <c r="G6" s="379"/>
      <c r="H6" s="379"/>
      <c r="I6" s="379"/>
      <c r="J6" s="379"/>
    </row>
    <row r="7" spans="1:10" s="204" customFormat="1" ht="42.75" customHeight="1" thickBot="1">
      <c r="A7" s="360" t="s">
        <v>265</v>
      </c>
      <c r="B7" s="210"/>
      <c r="C7" s="206" t="s">
        <v>298</v>
      </c>
      <c r="F7" s="377" t="s">
        <v>302</v>
      </c>
      <c r="G7" s="378"/>
      <c r="H7" s="364">
        <f>+B12*20%</f>
        <v>0</v>
      </c>
      <c r="I7" s="365" t="s">
        <v>303</v>
      </c>
      <c r="J7" s="366" t="e">
        <f>+B6/B12</f>
        <v>#DIV/0!</v>
      </c>
    </row>
    <row r="8" spans="1:10" s="204" customFormat="1" ht="48">
      <c r="A8" s="361" t="s">
        <v>2</v>
      </c>
      <c r="B8" s="211">
        <f>0.6*(B6+B7)</f>
        <v>0</v>
      </c>
      <c r="C8" s="207" t="s">
        <v>299</v>
      </c>
      <c r="F8" s="380" t="s">
        <v>304</v>
      </c>
      <c r="G8" s="381"/>
      <c r="H8" s="382" t="s">
        <v>312</v>
      </c>
      <c r="I8" s="382"/>
      <c r="J8" s="383"/>
    </row>
    <row r="9" spans="1:3" s="204" customFormat="1" ht="24">
      <c r="A9" s="362" t="s">
        <v>3</v>
      </c>
      <c r="B9" s="210"/>
      <c r="C9" s="206" t="s">
        <v>277</v>
      </c>
    </row>
    <row r="10" spans="1:3" s="204" customFormat="1" ht="60">
      <c r="A10" s="362" t="s">
        <v>4</v>
      </c>
      <c r="B10" s="210"/>
      <c r="C10" s="206" t="s">
        <v>300</v>
      </c>
    </row>
    <row r="11" spans="1:10" s="204" customFormat="1" ht="60.75" thickBot="1">
      <c r="A11" s="363" t="s">
        <v>5</v>
      </c>
      <c r="B11" s="323"/>
      <c r="C11" s="324" t="s">
        <v>301</v>
      </c>
      <c r="I11" s="317"/>
      <c r="J11" s="317"/>
    </row>
    <row r="12" spans="1:4" s="204" customFormat="1" ht="13.5" thickBot="1" thickTop="1">
      <c r="A12" s="326" t="s">
        <v>266</v>
      </c>
      <c r="B12" s="325">
        <f>+B6+B7+B8+B9+B10+B11</f>
        <v>0</v>
      </c>
      <c r="C12" s="327"/>
      <c r="D12" s="328"/>
    </row>
    <row r="13" spans="1:4" s="204" customFormat="1" ht="13.5" thickBot="1" thickTop="1">
      <c r="A13" s="329"/>
      <c r="B13" s="315"/>
      <c r="C13" s="331"/>
      <c r="D13" s="317"/>
    </row>
    <row r="14" spans="1:3" s="204" customFormat="1" ht="25.5" thickBot="1" thickTop="1">
      <c r="A14" s="321" t="s">
        <v>288</v>
      </c>
      <c r="B14" s="330">
        <f>+(+B12+' BGT per unità locale n 1'!A3+' BGT per unità locale n 2'!A3+' BGT per unità locale n 3'!A3)*0.03</f>
        <v>0</v>
      </c>
      <c r="C14" s="322" t="s">
        <v>297</v>
      </c>
    </row>
    <row r="15" spans="1:3" s="204" customFormat="1" ht="24.75" customHeight="1">
      <c r="A15" s="208" t="s">
        <v>295</v>
      </c>
      <c r="B15" s="212">
        <f>+B12+B14</f>
        <v>0</v>
      </c>
      <c r="C15" s="209"/>
    </row>
    <row r="16" spans="1:3" s="204" customFormat="1" ht="27" customHeight="1">
      <c r="A16" s="359"/>
      <c r="B16" s="359"/>
      <c r="C16" s="359"/>
    </row>
    <row r="17" s="204" customFormat="1" ht="15">
      <c r="A17" s="316" t="s">
        <v>239</v>
      </c>
    </row>
    <row r="18" spans="1:3" s="204" customFormat="1" ht="39" customHeight="1">
      <c r="A18" s="373" t="s">
        <v>311</v>
      </c>
      <c r="B18" s="373"/>
      <c r="C18" s="373"/>
    </row>
    <row r="19" spans="1:3" s="204" customFormat="1" ht="38.25" customHeight="1">
      <c r="A19" s="373" t="s">
        <v>293</v>
      </c>
      <c r="B19" s="373"/>
      <c r="C19" s="373"/>
    </row>
    <row r="20" spans="1:3" s="204" customFormat="1" ht="25.5" customHeight="1">
      <c r="A20" s="373" t="s">
        <v>276</v>
      </c>
      <c r="B20" s="373"/>
      <c r="C20" s="373"/>
    </row>
  </sheetData>
  <sheetProtection/>
  <mergeCells count="8">
    <mergeCell ref="A18:C18"/>
    <mergeCell ref="A20:C20"/>
    <mergeCell ref="A3:C3"/>
    <mergeCell ref="A19:C19"/>
    <mergeCell ref="F7:G7"/>
    <mergeCell ref="F6:J6"/>
    <mergeCell ref="F8:G8"/>
    <mergeCell ref="H8:J8"/>
  </mergeCells>
  <printOptions/>
  <pageMargins left="0.7" right="0.7" top="0.75" bottom="0.75" header="0.3" footer="0.3"/>
  <pageSetup horizontalDpi="600" verticalDpi="600" orientation="portrait" paperSize="9" r:id="rId1"/>
  <ignoredErrors>
    <ignoredError sqref="J7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0">
      <selection activeCell="N18" sqref="N18"/>
    </sheetView>
  </sheetViews>
  <sheetFormatPr defaultColWidth="9.140625" defaultRowHeight="15"/>
  <cols>
    <col min="1" max="1" width="9.140625" style="145" customWidth="1"/>
    <col min="2" max="2" width="9.140625" style="134" customWidth="1"/>
    <col min="3" max="3" width="9.28125" style="134" bestFit="1" customWidth="1"/>
    <col min="4" max="4" width="9.140625" style="134" customWidth="1"/>
    <col min="5" max="5" width="20.57421875" style="134" customWidth="1"/>
    <col min="6" max="6" width="11.28125" style="134" hidden="1" customWidth="1"/>
    <col min="7" max="7" width="16.7109375" style="134" customWidth="1"/>
    <col min="8" max="8" width="10.8515625" style="134" customWidth="1"/>
    <col min="9" max="13" width="9.28125" style="134" bestFit="1" customWidth="1"/>
    <col min="14" max="14" width="10.140625" style="134" bestFit="1" customWidth="1"/>
    <col min="15" max="18" width="9.28125" style="134" bestFit="1" customWidth="1"/>
    <col min="19" max="19" width="12.00390625" style="134" customWidth="1"/>
    <col min="20" max="16384" width="9.140625" style="134" customWidth="1"/>
  </cols>
  <sheetData>
    <row r="1" spans="1:19" ht="38.25" customHeight="1" thickBot="1">
      <c r="A1" s="57" t="s">
        <v>180</v>
      </c>
      <c r="B1" s="131"/>
      <c r="C1" s="132"/>
      <c r="D1" s="13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  <c r="S1" s="54"/>
    </row>
    <row r="2" spans="1:19" ht="51.75" customHeight="1" thickBot="1" thickTop="1">
      <c r="A2" s="64" t="s">
        <v>167</v>
      </c>
      <c r="B2" s="65" t="s">
        <v>13</v>
      </c>
      <c r="C2" s="65" t="s">
        <v>14</v>
      </c>
      <c r="D2" s="65" t="s">
        <v>15</v>
      </c>
      <c r="E2" s="65" t="s">
        <v>16</v>
      </c>
      <c r="F2" s="65" t="s">
        <v>17</v>
      </c>
      <c r="G2" s="135" t="s">
        <v>170</v>
      </c>
      <c r="H2" s="65" t="s">
        <v>18</v>
      </c>
      <c r="I2" s="65" t="s">
        <v>19</v>
      </c>
      <c r="J2" s="65" t="s">
        <v>20</v>
      </c>
      <c r="K2" s="67" t="s">
        <v>21</v>
      </c>
      <c r="L2" s="67" t="s">
        <v>22</v>
      </c>
      <c r="M2" s="67" t="s">
        <v>23</v>
      </c>
      <c r="N2" s="67" t="s">
        <v>24</v>
      </c>
      <c r="O2" s="67" t="s">
        <v>25</v>
      </c>
      <c r="P2" s="67" t="s">
        <v>26</v>
      </c>
      <c r="Q2" s="68" t="s">
        <v>27</v>
      </c>
      <c r="R2" s="67" t="s">
        <v>28</v>
      </c>
      <c r="S2" s="68" t="s">
        <v>172</v>
      </c>
    </row>
    <row r="3" spans="1:19" ht="17.25" customHeight="1" thickBot="1" thickTop="1">
      <c r="A3" s="136"/>
      <c r="B3" s="70"/>
      <c r="C3" s="69"/>
      <c r="D3" s="69"/>
      <c r="E3" s="69"/>
      <c r="F3" s="70"/>
      <c r="G3" s="71" t="s">
        <v>173</v>
      </c>
      <c r="H3" s="137"/>
      <c r="I3" s="69"/>
      <c r="J3" s="69"/>
      <c r="K3" s="69"/>
      <c r="L3" s="72"/>
      <c r="M3" s="72"/>
      <c r="N3" s="72" t="s">
        <v>174</v>
      </c>
      <c r="O3" s="72" t="s">
        <v>2</v>
      </c>
      <c r="P3" s="72" t="s">
        <v>3</v>
      </c>
      <c r="Q3" s="72" t="s">
        <v>4</v>
      </c>
      <c r="R3" s="72" t="s">
        <v>5</v>
      </c>
      <c r="S3" s="72" t="s">
        <v>175</v>
      </c>
    </row>
    <row r="4" spans="1:19" ht="19.5" customHeight="1" thickTop="1">
      <c r="A4" s="106" t="s">
        <v>9</v>
      </c>
      <c r="B4" s="108" t="s">
        <v>181</v>
      </c>
      <c r="C4" s="106">
        <v>0</v>
      </c>
      <c r="D4" s="108" t="s">
        <v>31</v>
      </c>
      <c r="E4" s="108" t="s">
        <v>182</v>
      </c>
      <c r="F4" s="108"/>
      <c r="G4" s="110">
        <f>N4+O4+S4</f>
        <v>48944.441708533326</v>
      </c>
      <c r="H4" s="88">
        <v>22232.82</v>
      </c>
      <c r="I4" s="88"/>
      <c r="J4" s="88">
        <v>9933.1</v>
      </c>
      <c r="K4" s="88"/>
      <c r="L4" s="111">
        <f aca="true" t="shared" si="0" ref="L4:L29">(H4+I4)/12</f>
        <v>1852.735</v>
      </c>
      <c r="M4" s="111">
        <f aca="true" t="shared" si="1" ref="M4:M29">J4/12</f>
        <v>827.7583333333333</v>
      </c>
      <c r="N4" s="111">
        <f aca="true" t="shared" si="2" ref="N4:N29">SUM(H4:M4)</f>
        <v>34846.41333333333</v>
      </c>
      <c r="O4" s="111">
        <f aca="true" t="shared" si="3" ref="O4:O29">N4*8.5/100</f>
        <v>2961.945133333333</v>
      </c>
      <c r="P4" s="111">
        <f aca="true" t="shared" si="4" ref="P4:P29">N4*24.2/100</f>
        <v>8432.832026666665</v>
      </c>
      <c r="Q4" s="111">
        <f>(H4+I4)*18%*24.2%</f>
        <v>968.4616391999999</v>
      </c>
      <c r="R4" s="111">
        <f aca="true" t="shared" si="5" ref="R4:R29">(H4+I4+L4)*80%*7.1%+(J4+M4)*80%*60%*7.1%</f>
        <v>1734.7895759999997</v>
      </c>
      <c r="S4" s="111">
        <f>P4+Q4+R4</f>
        <v>11136.083241866665</v>
      </c>
    </row>
    <row r="5" spans="1:19" ht="19.5" customHeight="1">
      <c r="A5" s="81" t="s">
        <v>9</v>
      </c>
      <c r="B5" s="82" t="s">
        <v>181</v>
      </c>
      <c r="C5" s="81">
        <v>0</v>
      </c>
      <c r="D5" s="82" t="s">
        <v>34</v>
      </c>
      <c r="E5" s="82" t="s">
        <v>183</v>
      </c>
      <c r="F5" s="82"/>
      <c r="G5" s="110">
        <f aca="true" t="shared" si="6" ref="G5:G29">N5+O5+S5</f>
        <v>69717.71213703333</v>
      </c>
      <c r="H5" s="85">
        <v>30544.1</v>
      </c>
      <c r="I5" s="85"/>
      <c r="J5" s="85">
        <v>10426.11</v>
      </c>
      <c r="K5" s="85">
        <v>6447.03</v>
      </c>
      <c r="L5" s="86">
        <f t="shared" si="0"/>
        <v>2545.3416666666667</v>
      </c>
      <c r="M5" s="86">
        <f t="shared" si="1"/>
        <v>868.8425000000001</v>
      </c>
      <c r="N5" s="86">
        <f t="shared" si="2"/>
        <v>50831.424166666664</v>
      </c>
      <c r="O5" s="86">
        <f t="shared" si="3"/>
        <v>4320.671054166666</v>
      </c>
      <c r="P5" s="86">
        <f t="shared" si="4"/>
        <v>12301.204648333332</v>
      </c>
      <c r="Q5" s="86"/>
      <c r="R5" s="86">
        <f t="shared" si="5"/>
        <v>2264.4122678666663</v>
      </c>
      <c r="S5" s="86">
        <f aca="true" t="shared" si="7" ref="S5:S29">P5+Q5+R5</f>
        <v>14565.616916199999</v>
      </c>
    </row>
    <row r="6" spans="1:19" ht="19.5" customHeight="1">
      <c r="A6" s="81" t="s">
        <v>9</v>
      </c>
      <c r="B6" s="82" t="s">
        <v>181</v>
      </c>
      <c r="C6" s="81">
        <v>1</v>
      </c>
      <c r="D6" s="82" t="s">
        <v>31</v>
      </c>
      <c r="E6" s="82" t="s">
        <v>184</v>
      </c>
      <c r="F6" s="82"/>
      <c r="G6" s="110">
        <f t="shared" si="6"/>
        <v>51309.81241476666</v>
      </c>
      <c r="H6" s="85">
        <v>22232.82</v>
      </c>
      <c r="I6" s="85">
        <v>1533.29</v>
      </c>
      <c r="J6" s="85">
        <v>9933.1</v>
      </c>
      <c r="K6" s="85"/>
      <c r="L6" s="86">
        <f t="shared" si="0"/>
        <v>1980.5091666666667</v>
      </c>
      <c r="M6" s="86">
        <f t="shared" si="1"/>
        <v>827.7583333333333</v>
      </c>
      <c r="N6" s="86">
        <f t="shared" si="2"/>
        <v>36507.47749999999</v>
      </c>
      <c r="O6" s="86">
        <f t="shared" si="3"/>
        <v>3103.1355874999995</v>
      </c>
      <c r="P6" s="86">
        <f t="shared" si="4"/>
        <v>8834.809554999998</v>
      </c>
      <c r="Q6" s="86">
        <f>(H6+I6)*18%*24.2%</f>
        <v>1035.2517516</v>
      </c>
      <c r="R6" s="86">
        <f t="shared" si="5"/>
        <v>1829.1380206666665</v>
      </c>
      <c r="S6" s="86">
        <f t="shared" si="7"/>
        <v>11699.199327266666</v>
      </c>
    </row>
    <row r="7" spans="1:19" ht="19.5" customHeight="1">
      <c r="A7" s="81" t="s">
        <v>9</v>
      </c>
      <c r="B7" s="82" t="s">
        <v>181</v>
      </c>
      <c r="C7" s="81">
        <v>1</v>
      </c>
      <c r="D7" s="82" t="s">
        <v>34</v>
      </c>
      <c r="E7" s="82" t="s">
        <v>185</v>
      </c>
      <c r="F7" s="82"/>
      <c r="G7" s="110">
        <f t="shared" si="6"/>
        <v>74097.76667419999</v>
      </c>
      <c r="H7" s="85">
        <v>30544.1</v>
      </c>
      <c r="I7" s="85">
        <v>2106.49</v>
      </c>
      <c r="J7" s="85">
        <v>10426.11</v>
      </c>
      <c r="K7" s="85">
        <v>7368.04</v>
      </c>
      <c r="L7" s="86">
        <f t="shared" si="0"/>
        <v>2720.8824999999997</v>
      </c>
      <c r="M7" s="86">
        <f t="shared" si="1"/>
        <v>868.8425000000001</v>
      </c>
      <c r="N7" s="86">
        <f t="shared" si="2"/>
        <v>54034.465</v>
      </c>
      <c r="O7" s="86">
        <f t="shared" si="3"/>
        <v>4592.929525</v>
      </c>
      <c r="P7" s="86">
        <f t="shared" si="4"/>
        <v>13076.340529999998</v>
      </c>
      <c r="Q7" s="86"/>
      <c r="R7" s="86">
        <f t="shared" si="5"/>
        <v>2394.0316192</v>
      </c>
      <c r="S7" s="86">
        <f t="shared" si="7"/>
        <v>15470.372149199997</v>
      </c>
    </row>
    <row r="8" spans="1:19" ht="19.5" customHeight="1">
      <c r="A8" s="81" t="s">
        <v>9</v>
      </c>
      <c r="B8" s="82" t="s">
        <v>181</v>
      </c>
      <c r="C8" s="81">
        <v>2</v>
      </c>
      <c r="D8" s="82" t="s">
        <v>31</v>
      </c>
      <c r="E8" s="82" t="s">
        <v>186</v>
      </c>
      <c r="F8" s="82"/>
      <c r="G8" s="110">
        <f t="shared" si="6"/>
        <v>56040.569254</v>
      </c>
      <c r="H8" s="85">
        <v>22232.82</v>
      </c>
      <c r="I8" s="85">
        <v>4599.88</v>
      </c>
      <c r="J8" s="85">
        <v>9933.1</v>
      </c>
      <c r="K8" s="85"/>
      <c r="L8" s="86">
        <f t="shared" si="0"/>
        <v>2236.0583333333334</v>
      </c>
      <c r="M8" s="86">
        <f t="shared" si="1"/>
        <v>827.7583333333333</v>
      </c>
      <c r="N8" s="86">
        <f t="shared" si="2"/>
        <v>39829.61666666667</v>
      </c>
      <c r="O8" s="86">
        <f t="shared" si="3"/>
        <v>3385.517416666667</v>
      </c>
      <c r="P8" s="86">
        <f t="shared" si="4"/>
        <v>9638.767233333334</v>
      </c>
      <c r="Q8" s="86">
        <f>(H8+I8)*18%*24.2%</f>
        <v>1168.8324119999997</v>
      </c>
      <c r="R8" s="86">
        <f t="shared" si="5"/>
        <v>2017.8355253333332</v>
      </c>
      <c r="S8" s="86">
        <f t="shared" si="7"/>
        <v>12825.435170666668</v>
      </c>
    </row>
    <row r="9" spans="1:19" ht="19.5" customHeight="1">
      <c r="A9" s="81" t="s">
        <v>9</v>
      </c>
      <c r="B9" s="82" t="s">
        <v>181</v>
      </c>
      <c r="C9" s="81">
        <v>2</v>
      </c>
      <c r="D9" s="82" t="s">
        <v>34</v>
      </c>
      <c r="E9" s="82" t="s">
        <v>187</v>
      </c>
      <c r="F9" s="82"/>
      <c r="G9" s="110">
        <f t="shared" si="6"/>
        <v>81228.30819970001</v>
      </c>
      <c r="H9" s="85">
        <v>30544.1</v>
      </c>
      <c r="I9" s="85">
        <v>6319.48</v>
      </c>
      <c r="J9" s="85">
        <v>10426.11</v>
      </c>
      <c r="K9" s="85">
        <v>7982.04</v>
      </c>
      <c r="L9" s="86">
        <f t="shared" si="0"/>
        <v>3071.965</v>
      </c>
      <c r="M9" s="86">
        <f t="shared" si="1"/>
        <v>868.8425000000001</v>
      </c>
      <c r="N9" s="86">
        <f t="shared" si="2"/>
        <v>59212.537500000006</v>
      </c>
      <c r="O9" s="86">
        <f t="shared" si="3"/>
        <v>5033.0656875</v>
      </c>
      <c r="P9" s="86">
        <f t="shared" si="4"/>
        <v>14329.434075000003</v>
      </c>
      <c r="Q9" s="86"/>
      <c r="R9" s="86">
        <f t="shared" si="5"/>
        <v>2653.2709372</v>
      </c>
      <c r="S9" s="86">
        <f t="shared" si="7"/>
        <v>16982.705012200004</v>
      </c>
    </row>
    <row r="10" spans="1:19" ht="19.5" customHeight="1">
      <c r="A10" s="81" t="s">
        <v>9</v>
      </c>
      <c r="B10" s="82" t="s">
        <v>181</v>
      </c>
      <c r="C10" s="81">
        <v>3</v>
      </c>
      <c r="D10" s="82" t="s">
        <v>31</v>
      </c>
      <c r="E10" s="82" t="s">
        <v>188</v>
      </c>
      <c r="F10" s="82"/>
      <c r="G10" s="110">
        <f t="shared" si="6"/>
        <v>58405.955386999995</v>
      </c>
      <c r="H10" s="85">
        <v>22232.82</v>
      </c>
      <c r="I10" s="85">
        <v>6133.18</v>
      </c>
      <c r="J10" s="85">
        <v>9933.1</v>
      </c>
      <c r="K10" s="85"/>
      <c r="L10" s="86">
        <f t="shared" si="0"/>
        <v>2363.8333333333335</v>
      </c>
      <c r="M10" s="86">
        <f t="shared" si="1"/>
        <v>827.7583333333333</v>
      </c>
      <c r="N10" s="86">
        <f t="shared" si="2"/>
        <v>41490.691666666666</v>
      </c>
      <c r="O10" s="86">
        <f t="shared" si="3"/>
        <v>3526.7087916666665</v>
      </c>
      <c r="P10" s="86">
        <f t="shared" si="4"/>
        <v>10040.747383333333</v>
      </c>
      <c r="Q10" s="86">
        <f aca="true" t="shared" si="8" ref="Q10:Q28">(H10+I10)*18%*24.2%</f>
        <v>1235.62296</v>
      </c>
      <c r="R10" s="86">
        <f t="shared" si="5"/>
        <v>2112.1845853333334</v>
      </c>
      <c r="S10" s="86">
        <f t="shared" si="7"/>
        <v>13388.554928666668</v>
      </c>
    </row>
    <row r="11" spans="1:19" ht="19.5" customHeight="1">
      <c r="A11" s="81" t="s">
        <v>9</v>
      </c>
      <c r="B11" s="82" t="s">
        <v>181</v>
      </c>
      <c r="C11" s="81">
        <v>3</v>
      </c>
      <c r="D11" s="82" t="s">
        <v>34</v>
      </c>
      <c r="E11" s="82" t="s">
        <v>189</v>
      </c>
      <c r="F11" s="82"/>
      <c r="G11" s="110">
        <f t="shared" si="6"/>
        <v>86015.70848453333</v>
      </c>
      <c r="H11" s="85">
        <v>30544.1</v>
      </c>
      <c r="I11" s="85">
        <v>8425.95</v>
      </c>
      <c r="J11" s="85">
        <v>10426.11</v>
      </c>
      <c r="K11" s="85">
        <v>9210.04</v>
      </c>
      <c r="L11" s="86">
        <f t="shared" si="0"/>
        <v>3247.504166666667</v>
      </c>
      <c r="M11" s="86">
        <f t="shared" si="1"/>
        <v>868.8425000000001</v>
      </c>
      <c r="N11" s="86">
        <f t="shared" si="2"/>
        <v>62722.54666666667</v>
      </c>
      <c r="O11" s="86">
        <f t="shared" si="3"/>
        <v>5331.4164666666675</v>
      </c>
      <c r="P11" s="86">
        <f t="shared" si="4"/>
        <v>15178.856293333334</v>
      </c>
      <c r="Q11" s="86"/>
      <c r="R11" s="86">
        <f t="shared" si="5"/>
        <v>2782.8890578666665</v>
      </c>
      <c r="S11" s="86">
        <f t="shared" si="7"/>
        <v>17961.7453512</v>
      </c>
    </row>
    <row r="12" spans="1:19" ht="19.5" customHeight="1">
      <c r="A12" s="81" t="s">
        <v>9</v>
      </c>
      <c r="B12" s="82" t="s">
        <v>181</v>
      </c>
      <c r="C12" s="81">
        <v>4</v>
      </c>
      <c r="D12" s="82" t="s">
        <v>31</v>
      </c>
      <c r="E12" s="82" t="s">
        <v>190</v>
      </c>
      <c r="F12" s="82"/>
      <c r="G12" s="110">
        <f t="shared" si="6"/>
        <v>60593.933703333336</v>
      </c>
      <c r="H12" s="85">
        <v>22232.82</v>
      </c>
      <c r="I12" s="85">
        <v>7551.48</v>
      </c>
      <c r="J12" s="85">
        <v>9933.1</v>
      </c>
      <c r="K12" s="85"/>
      <c r="L12" s="86">
        <f t="shared" si="0"/>
        <v>2482.025</v>
      </c>
      <c r="M12" s="86">
        <f t="shared" si="1"/>
        <v>827.7583333333333</v>
      </c>
      <c r="N12" s="86">
        <f t="shared" si="2"/>
        <v>43027.183333333334</v>
      </c>
      <c r="O12" s="86">
        <f t="shared" si="3"/>
        <v>3657.3105833333334</v>
      </c>
      <c r="P12" s="86">
        <f t="shared" si="4"/>
        <v>10412.578366666667</v>
      </c>
      <c r="Q12" s="86">
        <f t="shared" si="8"/>
        <v>1297.404108</v>
      </c>
      <c r="R12" s="86">
        <f t="shared" si="5"/>
        <v>2199.457312</v>
      </c>
      <c r="S12" s="86">
        <f t="shared" si="7"/>
        <v>13909.439786666668</v>
      </c>
    </row>
    <row r="13" spans="1:19" ht="19.5" customHeight="1">
      <c r="A13" s="81" t="s">
        <v>9</v>
      </c>
      <c r="B13" s="82" t="s">
        <v>181</v>
      </c>
      <c r="C13" s="81">
        <v>4</v>
      </c>
      <c r="D13" s="82" t="s">
        <v>34</v>
      </c>
      <c r="E13" s="82" t="s">
        <v>191</v>
      </c>
      <c r="F13" s="82"/>
      <c r="G13" s="110">
        <f t="shared" si="6"/>
        <v>93026.20764686666</v>
      </c>
      <c r="H13" s="85">
        <v>30544.1</v>
      </c>
      <c r="I13" s="85">
        <v>13102.37</v>
      </c>
      <c r="J13" s="85">
        <v>10426.11</v>
      </c>
      <c r="K13" s="85">
        <v>9210.04</v>
      </c>
      <c r="L13" s="86">
        <f t="shared" si="0"/>
        <v>3637.2058333333334</v>
      </c>
      <c r="M13" s="86">
        <f t="shared" si="1"/>
        <v>868.8425000000001</v>
      </c>
      <c r="N13" s="86">
        <f t="shared" si="2"/>
        <v>67788.66833333333</v>
      </c>
      <c r="O13" s="86">
        <f t="shared" si="3"/>
        <v>5762.036808333334</v>
      </c>
      <c r="P13" s="86">
        <f t="shared" si="4"/>
        <v>16404.857736666665</v>
      </c>
      <c r="Q13" s="86"/>
      <c r="R13" s="86">
        <f t="shared" si="5"/>
        <v>3070.6447685333333</v>
      </c>
      <c r="S13" s="86">
        <f t="shared" si="7"/>
        <v>19475.5025052</v>
      </c>
    </row>
    <row r="14" spans="1:19" ht="19.5" customHeight="1">
      <c r="A14" s="81" t="s">
        <v>9</v>
      </c>
      <c r="B14" s="82" t="s">
        <v>181</v>
      </c>
      <c r="C14" s="81">
        <v>5</v>
      </c>
      <c r="D14" s="82" t="s">
        <v>31</v>
      </c>
      <c r="E14" s="82" t="s">
        <v>192</v>
      </c>
      <c r="F14" s="82"/>
      <c r="G14" s="110">
        <f t="shared" si="6"/>
        <v>61687.922861499996</v>
      </c>
      <c r="H14" s="85">
        <v>22232.82</v>
      </c>
      <c r="I14" s="85">
        <v>8260.63</v>
      </c>
      <c r="J14" s="85">
        <v>9933.1</v>
      </c>
      <c r="K14" s="85"/>
      <c r="L14" s="86">
        <f t="shared" si="0"/>
        <v>2541.120833333333</v>
      </c>
      <c r="M14" s="86">
        <f t="shared" si="1"/>
        <v>827.7583333333333</v>
      </c>
      <c r="N14" s="86">
        <f t="shared" si="2"/>
        <v>43795.42916666666</v>
      </c>
      <c r="O14" s="86">
        <f t="shared" si="3"/>
        <v>3722.6114791666664</v>
      </c>
      <c r="P14" s="86">
        <f t="shared" si="4"/>
        <v>10598.493858333333</v>
      </c>
      <c r="Q14" s="86">
        <f t="shared" si="8"/>
        <v>1328.2946819999997</v>
      </c>
      <c r="R14" s="86">
        <f t="shared" si="5"/>
        <v>2243.093675333333</v>
      </c>
      <c r="S14" s="86">
        <f t="shared" si="7"/>
        <v>14169.882215666667</v>
      </c>
    </row>
    <row r="15" spans="1:19" ht="19.5" customHeight="1">
      <c r="A15" s="81" t="s">
        <v>9</v>
      </c>
      <c r="B15" s="82" t="s">
        <v>181</v>
      </c>
      <c r="C15" s="81">
        <v>5</v>
      </c>
      <c r="D15" s="82" t="s">
        <v>34</v>
      </c>
      <c r="E15" s="82" t="s">
        <v>193</v>
      </c>
      <c r="F15" s="82"/>
      <c r="G15" s="110">
        <f t="shared" si="6"/>
        <v>96531.44223686667</v>
      </c>
      <c r="H15" s="85">
        <v>30544.1</v>
      </c>
      <c r="I15" s="85">
        <v>15440.57</v>
      </c>
      <c r="J15" s="85">
        <v>10426.11</v>
      </c>
      <c r="K15" s="85">
        <v>9210.04</v>
      </c>
      <c r="L15" s="86">
        <f t="shared" si="0"/>
        <v>3832.0558333333333</v>
      </c>
      <c r="M15" s="86">
        <f t="shared" si="1"/>
        <v>868.8425000000001</v>
      </c>
      <c r="N15" s="86">
        <f t="shared" si="2"/>
        <v>70321.71833333334</v>
      </c>
      <c r="O15" s="86">
        <f t="shared" si="3"/>
        <v>5977.3460583333335</v>
      </c>
      <c r="P15" s="86">
        <f t="shared" si="4"/>
        <v>17017.855836666666</v>
      </c>
      <c r="Q15" s="86"/>
      <c r="R15" s="86">
        <f t="shared" si="5"/>
        <v>3214.5220085333326</v>
      </c>
      <c r="S15" s="86">
        <f t="shared" si="7"/>
        <v>20232.377845199997</v>
      </c>
    </row>
    <row r="16" spans="1:19" ht="19.5" customHeight="1">
      <c r="A16" s="81" t="s">
        <v>9</v>
      </c>
      <c r="B16" s="82" t="s">
        <v>181</v>
      </c>
      <c r="C16" s="81">
        <v>6</v>
      </c>
      <c r="D16" s="82" t="s">
        <v>31</v>
      </c>
      <c r="E16" s="82" t="s">
        <v>194</v>
      </c>
      <c r="F16" s="82"/>
      <c r="G16" s="110">
        <f t="shared" si="6"/>
        <v>63875.90117783332</v>
      </c>
      <c r="H16" s="85">
        <v>22232.82</v>
      </c>
      <c r="I16" s="85">
        <v>9678.93</v>
      </c>
      <c r="J16" s="85">
        <v>9933.1</v>
      </c>
      <c r="K16" s="85"/>
      <c r="L16" s="86">
        <f t="shared" si="0"/>
        <v>2659.3125</v>
      </c>
      <c r="M16" s="86">
        <f t="shared" si="1"/>
        <v>827.7583333333333</v>
      </c>
      <c r="N16" s="86">
        <f t="shared" si="2"/>
        <v>45331.92083333333</v>
      </c>
      <c r="O16" s="86">
        <f t="shared" si="3"/>
        <v>3853.213270833333</v>
      </c>
      <c r="P16" s="86">
        <f t="shared" si="4"/>
        <v>10970.324841666667</v>
      </c>
      <c r="Q16" s="86">
        <f t="shared" si="8"/>
        <v>1390.07583</v>
      </c>
      <c r="R16" s="86">
        <f t="shared" si="5"/>
        <v>2330.366402</v>
      </c>
      <c r="S16" s="86">
        <f t="shared" si="7"/>
        <v>14690.767073666666</v>
      </c>
    </row>
    <row r="17" spans="1:19" ht="19.5" customHeight="1">
      <c r="A17" s="81" t="s">
        <v>9</v>
      </c>
      <c r="B17" s="82" t="s">
        <v>181</v>
      </c>
      <c r="C17" s="81">
        <v>6</v>
      </c>
      <c r="D17" s="82" t="s">
        <v>34</v>
      </c>
      <c r="E17" s="82" t="s">
        <v>195</v>
      </c>
      <c r="F17" s="82"/>
      <c r="G17" s="110">
        <f t="shared" si="6"/>
        <v>103541.89642569999</v>
      </c>
      <c r="H17" s="85">
        <v>30544.1</v>
      </c>
      <c r="I17" s="85">
        <v>20116.96</v>
      </c>
      <c r="J17" s="85">
        <v>10426.11</v>
      </c>
      <c r="K17" s="85">
        <v>9210.04</v>
      </c>
      <c r="L17" s="86">
        <f t="shared" si="0"/>
        <v>4221.755</v>
      </c>
      <c r="M17" s="86">
        <f t="shared" si="1"/>
        <v>868.8425000000001</v>
      </c>
      <c r="N17" s="86">
        <f t="shared" si="2"/>
        <v>75387.8075</v>
      </c>
      <c r="O17" s="86">
        <f t="shared" si="3"/>
        <v>6407.9636375</v>
      </c>
      <c r="P17" s="86">
        <f t="shared" si="4"/>
        <v>18243.849414999997</v>
      </c>
      <c r="Q17" s="86"/>
      <c r="R17" s="86">
        <f t="shared" si="5"/>
        <v>3502.2758731999998</v>
      </c>
      <c r="S17" s="86">
        <f t="shared" si="7"/>
        <v>21746.125288199997</v>
      </c>
    </row>
    <row r="18" spans="1:19" ht="19.5" customHeight="1">
      <c r="A18" s="81" t="s">
        <v>9</v>
      </c>
      <c r="B18" s="82" t="s">
        <v>181</v>
      </c>
      <c r="C18" s="81">
        <v>7</v>
      </c>
      <c r="D18" s="82" t="s">
        <v>31</v>
      </c>
      <c r="E18" s="82" t="s">
        <v>196</v>
      </c>
      <c r="F18" s="82"/>
      <c r="G18" s="110">
        <f t="shared" si="6"/>
        <v>64969.890336</v>
      </c>
      <c r="H18" s="85">
        <v>22232.82</v>
      </c>
      <c r="I18" s="85">
        <v>10388.08</v>
      </c>
      <c r="J18" s="85">
        <v>9933.1</v>
      </c>
      <c r="K18" s="85"/>
      <c r="L18" s="86">
        <f t="shared" si="0"/>
        <v>2718.4083333333333</v>
      </c>
      <c r="M18" s="86">
        <f t="shared" si="1"/>
        <v>827.7583333333333</v>
      </c>
      <c r="N18" s="86">
        <f t="shared" si="2"/>
        <v>46100.166666666664</v>
      </c>
      <c r="O18" s="86">
        <f t="shared" si="3"/>
        <v>3918.5141666666664</v>
      </c>
      <c r="P18" s="86">
        <f t="shared" si="4"/>
        <v>11156.240333333331</v>
      </c>
      <c r="Q18" s="86">
        <f t="shared" si="8"/>
        <v>1420.9664039999998</v>
      </c>
      <c r="R18" s="86">
        <f t="shared" si="5"/>
        <v>2374.0027653333336</v>
      </c>
      <c r="S18" s="86">
        <f t="shared" si="7"/>
        <v>14951.209502666665</v>
      </c>
    </row>
    <row r="19" spans="1:19" ht="19.5" customHeight="1">
      <c r="A19" s="81" t="s">
        <v>9</v>
      </c>
      <c r="B19" s="82" t="s">
        <v>181</v>
      </c>
      <c r="C19" s="115">
        <v>7</v>
      </c>
      <c r="D19" s="116" t="s">
        <v>34</v>
      </c>
      <c r="E19" s="116" t="s">
        <v>197</v>
      </c>
      <c r="F19" s="116"/>
      <c r="G19" s="110">
        <f t="shared" si="6"/>
        <v>107047.14600686666</v>
      </c>
      <c r="H19" s="85">
        <v>30544.1</v>
      </c>
      <c r="I19" s="85">
        <v>22455.17</v>
      </c>
      <c r="J19" s="86">
        <v>10426.11</v>
      </c>
      <c r="K19" s="86">
        <v>9210.04</v>
      </c>
      <c r="L19" s="86">
        <f t="shared" si="0"/>
        <v>4416.605833333333</v>
      </c>
      <c r="M19" s="86">
        <f t="shared" si="1"/>
        <v>868.8425000000001</v>
      </c>
      <c r="N19" s="86">
        <f t="shared" si="2"/>
        <v>77920.86833333333</v>
      </c>
      <c r="O19" s="86">
        <f t="shared" si="3"/>
        <v>6623.273808333333</v>
      </c>
      <c r="P19" s="86">
        <f t="shared" si="4"/>
        <v>18856.850136666664</v>
      </c>
      <c r="Q19" s="86"/>
      <c r="R19" s="86">
        <f t="shared" si="5"/>
        <v>3646.1537285333334</v>
      </c>
      <c r="S19" s="86">
        <f t="shared" si="7"/>
        <v>22503.003865199997</v>
      </c>
    </row>
    <row r="20" spans="1:19" ht="19.5" customHeight="1">
      <c r="A20" s="81" t="s">
        <v>9</v>
      </c>
      <c r="B20" s="82" t="s">
        <v>181</v>
      </c>
      <c r="C20" s="81">
        <v>8</v>
      </c>
      <c r="D20" s="82" t="s">
        <v>31</v>
      </c>
      <c r="E20" s="82" t="s">
        <v>198</v>
      </c>
      <c r="F20" s="82"/>
      <c r="G20" s="110">
        <f t="shared" si="6"/>
        <v>67157.86865233333</v>
      </c>
      <c r="H20" s="85">
        <v>22232.82</v>
      </c>
      <c r="I20" s="85">
        <v>11806.38</v>
      </c>
      <c r="J20" s="85">
        <v>9933.1</v>
      </c>
      <c r="K20" s="85"/>
      <c r="L20" s="86">
        <f t="shared" si="0"/>
        <v>2836.6</v>
      </c>
      <c r="M20" s="86">
        <f t="shared" si="1"/>
        <v>827.7583333333333</v>
      </c>
      <c r="N20" s="86">
        <f t="shared" si="2"/>
        <v>47636.658333333326</v>
      </c>
      <c r="O20" s="86">
        <f t="shared" si="3"/>
        <v>4049.115958333333</v>
      </c>
      <c r="P20" s="86">
        <f t="shared" si="4"/>
        <v>11528.071316666663</v>
      </c>
      <c r="Q20" s="86">
        <f t="shared" si="8"/>
        <v>1482.7475519999998</v>
      </c>
      <c r="R20" s="86">
        <f t="shared" si="5"/>
        <v>2461.2754919999998</v>
      </c>
      <c r="S20" s="86">
        <f t="shared" si="7"/>
        <v>15472.094360666662</v>
      </c>
    </row>
    <row r="21" spans="1:19" ht="19.5" customHeight="1">
      <c r="A21" s="81" t="s">
        <v>9</v>
      </c>
      <c r="B21" s="82" t="s">
        <v>181</v>
      </c>
      <c r="C21" s="115">
        <v>8</v>
      </c>
      <c r="D21" s="116" t="s">
        <v>34</v>
      </c>
      <c r="E21" s="116" t="s">
        <v>199</v>
      </c>
      <c r="F21" s="116"/>
      <c r="G21" s="110">
        <f t="shared" si="6"/>
        <v>114057.64516919998</v>
      </c>
      <c r="H21" s="85">
        <v>30544.1</v>
      </c>
      <c r="I21" s="85">
        <v>27131.59</v>
      </c>
      <c r="J21" s="86">
        <v>10426.11</v>
      </c>
      <c r="K21" s="86">
        <v>9210.04</v>
      </c>
      <c r="L21" s="86">
        <f t="shared" si="0"/>
        <v>4806.3075</v>
      </c>
      <c r="M21" s="86">
        <f t="shared" si="1"/>
        <v>868.8425000000001</v>
      </c>
      <c r="N21" s="86">
        <f t="shared" si="2"/>
        <v>82986.98999999999</v>
      </c>
      <c r="O21" s="86">
        <f t="shared" si="3"/>
        <v>7053.894149999999</v>
      </c>
      <c r="P21" s="86">
        <f t="shared" si="4"/>
        <v>20082.85158</v>
      </c>
      <c r="Q21" s="86"/>
      <c r="R21" s="86">
        <f t="shared" si="5"/>
        <v>3933.9094391999997</v>
      </c>
      <c r="S21" s="86">
        <f t="shared" si="7"/>
        <v>24016.7610192</v>
      </c>
    </row>
    <row r="22" spans="1:19" ht="19.5" customHeight="1">
      <c r="A22" s="81" t="s">
        <v>9</v>
      </c>
      <c r="B22" s="82" t="s">
        <v>181</v>
      </c>
      <c r="C22" s="115">
        <v>9</v>
      </c>
      <c r="D22" s="116" t="s">
        <v>31</v>
      </c>
      <c r="E22" s="116" t="s">
        <v>200</v>
      </c>
      <c r="F22" s="116"/>
      <c r="G22" s="110">
        <f t="shared" si="6"/>
        <v>68251.85781049999</v>
      </c>
      <c r="H22" s="85">
        <v>22232.82</v>
      </c>
      <c r="I22" s="85">
        <v>12515.53</v>
      </c>
      <c r="J22" s="86">
        <v>9933.1</v>
      </c>
      <c r="K22" s="86"/>
      <c r="L22" s="86">
        <f t="shared" si="0"/>
        <v>2895.695833333333</v>
      </c>
      <c r="M22" s="86">
        <f t="shared" si="1"/>
        <v>827.7583333333333</v>
      </c>
      <c r="N22" s="86">
        <f t="shared" si="2"/>
        <v>48404.90416666666</v>
      </c>
      <c r="O22" s="86">
        <f t="shared" si="3"/>
        <v>4114.416854166666</v>
      </c>
      <c r="P22" s="86">
        <f t="shared" si="4"/>
        <v>11713.986808333331</v>
      </c>
      <c r="Q22" s="86">
        <f t="shared" si="8"/>
        <v>1513.6381259999998</v>
      </c>
      <c r="R22" s="86">
        <f t="shared" si="5"/>
        <v>2504.911855333333</v>
      </c>
      <c r="S22" s="86">
        <f t="shared" si="7"/>
        <v>15732.536789666665</v>
      </c>
    </row>
    <row r="23" spans="1:19" ht="19.5" customHeight="1">
      <c r="A23" s="81" t="s">
        <v>9</v>
      </c>
      <c r="B23" s="82" t="s">
        <v>181</v>
      </c>
      <c r="C23" s="115">
        <v>9</v>
      </c>
      <c r="D23" s="116" t="s">
        <v>34</v>
      </c>
      <c r="E23" s="116" t="s">
        <v>201</v>
      </c>
      <c r="F23" s="116"/>
      <c r="G23" s="110">
        <f t="shared" si="6"/>
        <v>116219.20649970001</v>
      </c>
      <c r="H23" s="85">
        <v>30544.1</v>
      </c>
      <c r="I23" s="85">
        <v>28573.48</v>
      </c>
      <c r="J23" s="86">
        <v>10426.11</v>
      </c>
      <c r="K23" s="86">
        <v>9210.04</v>
      </c>
      <c r="L23" s="86">
        <f t="shared" si="0"/>
        <v>4926.465</v>
      </c>
      <c r="M23" s="86">
        <f t="shared" si="1"/>
        <v>868.8425000000001</v>
      </c>
      <c r="N23" s="86">
        <f t="shared" si="2"/>
        <v>84549.0375</v>
      </c>
      <c r="O23" s="86">
        <f t="shared" si="3"/>
        <v>7186.668187500001</v>
      </c>
      <c r="P23" s="86">
        <f t="shared" si="4"/>
        <v>20460.867075000002</v>
      </c>
      <c r="Q23" s="86"/>
      <c r="R23" s="86">
        <f t="shared" si="5"/>
        <v>4022.6337372</v>
      </c>
      <c r="S23" s="86">
        <f t="shared" si="7"/>
        <v>24483.5008122</v>
      </c>
    </row>
    <row r="24" spans="1:19" ht="19.5" customHeight="1">
      <c r="A24" s="81" t="s">
        <v>9</v>
      </c>
      <c r="B24" s="82" t="s">
        <v>181</v>
      </c>
      <c r="C24" s="115">
        <v>10</v>
      </c>
      <c r="D24" s="116" t="s">
        <v>31</v>
      </c>
      <c r="E24" s="116" t="s">
        <v>202</v>
      </c>
      <c r="F24" s="116"/>
      <c r="G24" s="110">
        <f t="shared" si="6"/>
        <v>70439.83612683332</v>
      </c>
      <c r="H24" s="85">
        <v>22232.82</v>
      </c>
      <c r="I24" s="85">
        <v>13933.83</v>
      </c>
      <c r="J24" s="86">
        <v>9933.1</v>
      </c>
      <c r="K24" s="86"/>
      <c r="L24" s="86">
        <f t="shared" si="0"/>
        <v>3013.8875000000003</v>
      </c>
      <c r="M24" s="86">
        <f t="shared" si="1"/>
        <v>827.7583333333333</v>
      </c>
      <c r="N24" s="86">
        <f t="shared" si="2"/>
        <v>49941.39583333333</v>
      </c>
      <c r="O24" s="86">
        <f t="shared" si="3"/>
        <v>4245.018645833333</v>
      </c>
      <c r="P24" s="86">
        <f t="shared" si="4"/>
        <v>12085.817791666666</v>
      </c>
      <c r="Q24" s="86">
        <f t="shared" si="8"/>
        <v>1575.419274</v>
      </c>
      <c r="R24" s="86">
        <f t="shared" si="5"/>
        <v>2592.184582</v>
      </c>
      <c r="S24" s="86">
        <f t="shared" si="7"/>
        <v>16253.421647666666</v>
      </c>
    </row>
    <row r="25" spans="1:19" ht="19.5" customHeight="1">
      <c r="A25" s="81" t="s">
        <v>9</v>
      </c>
      <c r="B25" s="82" t="s">
        <v>181</v>
      </c>
      <c r="C25" s="115">
        <v>10</v>
      </c>
      <c r="D25" s="116" t="s">
        <v>34</v>
      </c>
      <c r="E25" s="116" t="s">
        <v>203</v>
      </c>
      <c r="F25" s="116"/>
      <c r="G25" s="110">
        <f t="shared" si="6"/>
        <v>120542.32916070001</v>
      </c>
      <c r="H25" s="85">
        <v>30544.1</v>
      </c>
      <c r="I25" s="85">
        <v>31457.26</v>
      </c>
      <c r="J25" s="86">
        <v>10426.11</v>
      </c>
      <c r="K25" s="86">
        <v>9210.04</v>
      </c>
      <c r="L25" s="86">
        <f t="shared" si="0"/>
        <v>5166.78</v>
      </c>
      <c r="M25" s="86">
        <f t="shared" si="1"/>
        <v>868.8425000000001</v>
      </c>
      <c r="N25" s="86">
        <f t="shared" si="2"/>
        <v>87673.1325</v>
      </c>
      <c r="O25" s="86">
        <f t="shared" si="3"/>
        <v>7452.216262500001</v>
      </c>
      <c r="P25" s="86">
        <f t="shared" si="4"/>
        <v>21216.898065</v>
      </c>
      <c r="Q25" s="86"/>
      <c r="R25" s="86">
        <f t="shared" si="5"/>
        <v>4200.0823332</v>
      </c>
      <c r="S25" s="86">
        <f t="shared" si="7"/>
        <v>25416.9803982</v>
      </c>
    </row>
    <row r="26" spans="1:19" ht="19.5" customHeight="1">
      <c r="A26" s="81" t="s">
        <v>9</v>
      </c>
      <c r="B26" s="82" t="s">
        <v>181</v>
      </c>
      <c r="C26" s="115">
        <v>11</v>
      </c>
      <c r="D26" s="116" t="s">
        <v>31</v>
      </c>
      <c r="E26" s="116" t="s">
        <v>204</v>
      </c>
      <c r="F26" s="116"/>
      <c r="G26" s="110">
        <f t="shared" si="6"/>
        <v>71533.825285</v>
      </c>
      <c r="H26" s="85">
        <v>22232.82</v>
      </c>
      <c r="I26" s="85">
        <v>14642.98</v>
      </c>
      <c r="J26" s="86">
        <v>9933.1</v>
      </c>
      <c r="K26" s="86"/>
      <c r="L26" s="86">
        <f t="shared" si="0"/>
        <v>3072.9833333333336</v>
      </c>
      <c r="M26" s="86">
        <f t="shared" si="1"/>
        <v>827.7583333333333</v>
      </c>
      <c r="N26" s="86">
        <f t="shared" si="2"/>
        <v>50709.64166666666</v>
      </c>
      <c r="O26" s="86">
        <f t="shared" si="3"/>
        <v>4310.319541666666</v>
      </c>
      <c r="P26" s="86">
        <f t="shared" si="4"/>
        <v>12271.733283333331</v>
      </c>
      <c r="Q26" s="86">
        <f t="shared" si="8"/>
        <v>1606.309848</v>
      </c>
      <c r="R26" s="86">
        <f t="shared" si="5"/>
        <v>2635.8209453333334</v>
      </c>
      <c r="S26" s="86">
        <f t="shared" si="7"/>
        <v>16513.864076666665</v>
      </c>
    </row>
    <row r="27" spans="1:19" ht="19.5" customHeight="1">
      <c r="A27" s="81" t="s">
        <v>9</v>
      </c>
      <c r="B27" s="82" t="s">
        <v>181</v>
      </c>
      <c r="C27" s="115">
        <v>11</v>
      </c>
      <c r="D27" s="116" t="s">
        <v>34</v>
      </c>
      <c r="E27" s="116" t="s">
        <v>205</v>
      </c>
      <c r="F27" s="116"/>
      <c r="G27" s="110">
        <f t="shared" si="6"/>
        <v>122703.8904912</v>
      </c>
      <c r="H27" s="85">
        <v>30544.1</v>
      </c>
      <c r="I27" s="85">
        <v>32899.15</v>
      </c>
      <c r="J27" s="86">
        <v>10426.11</v>
      </c>
      <c r="K27" s="86">
        <v>9210.04</v>
      </c>
      <c r="L27" s="86">
        <f t="shared" si="0"/>
        <v>5286.9375</v>
      </c>
      <c r="M27" s="86">
        <f t="shared" si="1"/>
        <v>868.8425000000001</v>
      </c>
      <c r="N27" s="86">
        <f t="shared" si="2"/>
        <v>89235.18</v>
      </c>
      <c r="O27" s="86">
        <f t="shared" si="3"/>
        <v>7584.9902999999995</v>
      </c>
      <c r="P27" s="86">
        <f t="shared" si="4"/>
        <v>21594.913559999997</v>
      </c>
      <c r="Q27" s="86"/>
      <c r="R27" s="86">
        <f t="shared" si="5"/>
        <v>4288.8066312</v>
      </c>
      <c r="S27" s="86">
        <f t="shared" si="7"/>
        <v>25883.7201912</v>
      </c>
    </row>
    <row r="28" spans="1:19" ht="19.5" customHeight="1">
      <c r="A28" s="81" t="s">
        <v>9</v>
      </c>
      <c r="B28" s="82" t="s">
        <v>181</v>
      </c>
      <c r="C28" s="115">
        <v>12</v>
      </c>
      <c r="D28" s="116" t="s">
        <v>31</v>
      </c>
      <c r="E28" s="116" t="s">
        <v>206</v>
      </c>
      <c r="F28" s="116"/>
      <c r="G28" s="110">
        <f t="shared" si="6"/>
        <v>73721.80360133332</v>
      </c>
      <c r="H28" s="85">
        <v>22232.82</v>
      </c>
      <c r="I28" s="85">
        <v>16061.28</v>
      </c>
      <c r="J28" s="86">
        <v>9933.1</v>
      </c>
      <c r="K28" s="86"/>
      <c r="L28" s="86">
        <f t="shared" si="0"/>
        <v>3191.1749999999997</v>
      </c>
      <c r="M28" s="86">
        <f t="shared" si="1"/>
        <v>827.7583333333333</v>
      </c>
      <c r="N28" s="86">
        <f t="shared" si="2"/>
        <v>52246.13333333333</v>
      </c>
      <c r="O28" s="86">
        <f t="shared" si="3"/>
        <v>4440.921333333333</v>
      </c>
      <c r="P28" s="86">
        <f t="shared" si="4"/>
        <v>12643.564266666664</v>
      </c>
      <c r="Q28" s="86">
        <f t="shared" si="8"/>
        <v>1668.0909959999997</v>
      </c>
      <c r="R28" s="86">
        <f t="shared" si="5"/>
        <v>2723.093672</v>
      </c>
      <c r="S28" s="86">
        <f t="shared" si="7"/>
        <v>17034.748934666663</v>
      </c>
    </row>
    <row r="29" spans="1:19" ht="19.5" customHeight="1" thickBot="1">
      <c r="A29" s="90" t="s">
        <v>9</v>
      </c>
      <c r="B29" s="91" t="s">
        <v>181</v>
      </c>
      <c r="C29" s="138">
        <v>12</v>
      </c>
      <c r="D29" s="139" t="s">
        <v>34</v>
      </c>
      <c r="E29" s="139" t="s">
        <v>207</v>
      </c>
      <c r="F29" s="139"/>
      <c r="G29" s="93">
        <f t="shared" si="6"/>
        <v>127027.0131522</v>
      </c>
      <c r="H29" s="97">
        <v>30544.1</v>
      </c>
      <c r="I29" s="97">
        <v>35782.93</v>
      </c>
      <c r="J29" s="94">
        <v>10426.11</v>
      </c>
      <c r="K29" s="94">
        <v>9210.04</v>
      </c>
      <c r="L29" s="94">
        <f t="shared" si="0"/>
        <v>5527.2525</v>
      </c>
      <c r="M29" s="94">
        <f t="shared" si="1"/>
        <v>868.8425000000001</v>
      </c>
      <c r="N29" s="94">
        <f t="shared" si="2"/>
        <v>92359.275</v>
      </c>
      <c r="O29" s="94">
        <f t="shared" si="3"/>
        <v>7850.538374999999</v>
      </c>
      <c r="P29" s="94">
        <f t="shared" si="4"/>
        <v>22350.944549999997</v>
      </c>
      <c r="Q29" s="94"/>
      <c r="R29" s="94">
        <f t="shared" si="5"/>
        <v>4466.2552272</v>
      </c>
      <c r="S29" s="94">
        <f t="shared" si="7"/>
        <v>26817.199777199996</v>
      </c>
    </row>
    <row r="30" spans="1:19" ht="13.5" hidden="1" thickTop="1">
      <c r="A30" s="106"/>
      <c r="B30" s="108"/>
      <c r="C30" s="122"/>
      <c r="D30" s="123"/>
      <c r="E30" s="123"/>
      <c r="F30" s="123"/>
      <c r="G30" s="110"/>
      <c r="H30" s="88"/>
      <c r="I30" s="88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  <row r="31" spans="1:19" ht="9" customHeight="1" thickBot="1" thickTop="1">
      <c r="A31" s="140"/>
      <c r="B31" s="141"/>
      <c r="C31" s="140"/>
      <c r="D31" s="141"/>
      <c r="E31" s="141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ht="19.5" customHeight="1" thickTop="1">
      <c r="A32" s="106" t="s">
        <v>10</v>
      </c>
      <c r="B32" s="108" t="s">
        <v>177</v>
      </c>
      <c r="C32" s="106">
        <v>0</v>
      </c>
      <c r="D32" s="108" t="s">
        <v>31</v>
      </c>
      <c r="E32" s="108" t="s">
        <v>38</v>
      </c>
      <c r="F32" s="108"/>
      <c r="G32" s="110">
        <f>N32+O32+S32</f>
        <v>66773.5666597</v>
      </c>
      <c r="H32" s="88">
        <v>33285.19</v>
      </c>
      <c r="I32" s="88"/>
      <c r="J32" s="88">
        <v>10461.34</v>
      </c>
      <c r="K32" s="88"/>
      <c r="L32" s="111">
        <f aca="true" t="shared" si="9" ref="L32:L55">(H32+I32)/12</f>
        <v>2773.7658333333334</v>
      </c>
      <c r="M32" s="111">
        <f aca="true" t="shared" si="10" ref="M32:M55">J32/12</f>
        <v>871.7783333333333</v>
      </c>
      <c r="N32" s="111">
        <f aca="true" t="shared" si="11" ref="N32:N55">SUM(H32:M32)</f>
        <v>47392.074166666665</v>
      </c>
      <c r="O32" s="111">
        <f aca="true" t="shared" si="12" ref="O32:O55">N32*8.5/100</f>
        <v>4028.326304166667</v>
      </c>
      <c r="P32" s="111">
        <f aca="true" t="shared" si="13" ref="P32:P55">N32*24.2/100</f>
        <v>11468.881948333334</v>
      </c>
      <c r="Q32" s="111">
        <f aca="true" t="shared" si="14" ref="Q32:Q54">(H32+I32)*18%*24.2%</f>
        <v>1449.9028764</v>
      </c>
      <c r="R32" s="111">
        <f aca="true" t="shared" si="15" ref="R32:R55">(H32+I32+L32)*80%*7.1%+(J32+M32)*80%*60%*7.1%</f>
        <v>2434.381364133333</v>
      </c>
      <c r="S32" s="111">
        <f>P32+Q32+R32</f>
        <v>15353.166188866666</v>
      </c>
    </row>
    <row r="33" spans="1:19" ht="19.5" customHeight="1">
      <c r="A33" s="115" t="s">
        <v>10</v>
      </c>
      <c r="B33" s="116" t="s">
        <v>177</v>
      </c>
      <c r="C33" s="115">
        <v>0</v>
      </c>
      <c r="D33" s="116" t="s">
        <v>34</v>
      </c>
      <c r="E33" s="116" t="s">
        <v>39</v>
      </c>
      <c r="F33" s="116" t="s">
        <v>99</v>
      </c>
      <c r="G33" s="110">
        <f aca="true" t="shared" si="16" ref="G33:G55">N33+O33+S33</f>
        <v>99356.83492216669</v>
      </c>
      <c r="H33" s="86">
        <v>45977.3</v>
      </c>
      <c r="I33" s="86"/>
      <c r="J33" s="86">
        <v>11165.65</v>
      </c>
      <c r="K33" s="86">
        <v>10525.78</v>
      </c>
      <c r="L33" s="86">
        <f t="shared" si="9"/>
        <v>3831.441666666667</v>
      </c>
      <c r="M33" s="86">
        <f t="shared" si="10"/>
        <v>930.4708333333333</v>
      </c>
      <c r="N33" s="86">
        <f t="shared" si="11"/>
        <v>72430.64250000002</v>
      </c>
      <c r="O33" s="86">
        <f t="shared" si="12"/>
        <v>6156.604612500002</v>
      </c>
      <c r="P33" s="86">
        <f t="shared" si="13"/>
        <v>17528.215485000004</v>
      </c>
      <c r="Q33" s="86"/>
      <c r="R33" s="86">
        <f t="shared" si="15"/>
        <v>3241.3723246666664</v>
      </c>
      <c r="S33" s="86">
        <f aca="true" t="shared" si="17" ref="S33:S55">P33+Q33+R33</f>
        <v>20769.58780966667</v>
      </c>
    </row>
    <row r="34" spans="1:19" ht="19.5" customHeight="1">
      <c r="A34" s="81" t="s">
        <v>10</v>
      </c>
      <c r="B34" s="82" t="s">
        <v>177</v>
      </c>
      <c r="C34" s="81">
        <v>1</v>
      </c>
      <c r="D34" s="82" t="s">
        <v>31</v>
      </c>
      <c r="E34" s="82" t="s">
        <v>40</v>
      </c>
      <c r="F34" s="82"/>
      <c r="G34" s="110">
        <f t="shared" si="16"/>
        <v>73399.11611476666</v>
      </c>
      <c r="H34" s="85">
        <v>33285.19</v>
      </c>
      <c r="I34" s="85">
        <v>4294.84</v>
      </c>
      <c r="J34" s="85">
        <v>10461.34</v>
      </c>
      <c r="K34" s="85"/>
      <c r="L34" s="86">
        <f t="shared" si="9"/>
        <v>3131.6691666666666</v>
      </c>
      <c r="M34" s="86">
        <f t="shared" si="10"/>
        <v>871.7783333333333</v>
      </c>
      <c r="N34" s="86">
        <f t="shared" si="11"/>
        <v>52044.8175</v>
      </c>
      <c r="O34" s="86">
        <f t="shared" si="12"/>
        <v>4423.8094875</v>
      </c>
      <c r="P34" s="86">
        <f t="shared" si="13"/>
        <v>12594.845835</v>
      </c>
      <c r="Q34" s="86">
        <f t="shared" si="14"/>
        <v>1636.9861067999998</v>
      </c>
      <c r="R34" s="86">
        <f t="shared" si="15"/>
        <v>2698.6571854666663</v>
      </c>
      <c r="S34" s="86">
        <f t="shared" si="17"/>
        <v>16930.489127266665</v>
      </c>
    </row>
    <row r="35" spans="1:19" ht="19.5" customHeight="1">
      <c r="A35" s="81" t="s">
        <v>10</v>
      </c>
      <c r="B35" s="116" t="s">
        <v>177</v>
      </c>
      <c r="C35" s="115">
        <v>1</v>
      </c>
      <c r="D35" s="116" t="s">
        <v>34</v>
      </c>
      <c r="E35" s="116" t="s">
        <v>41</v>
      </c>
      <c r="F35" s="116" t="s">
        <v>101</v>
      </c>
      <c r="G35" s="110">
        <f t="shared" si="16"/>
        <v>109414.38428300002</v>
      </c>
      <c r="H35" s="85">
        <v>45977.3</v>
      </c>
      <c r="I35" s="85">
        <v>5932.55</v>
      </c>
      <c r="J35" s="85">
        <v>11165.65</v>
      </c>
      <c r="K35" s="85">
        <v>11402.92</v>
      </c>
      <c r="L35" s="86">
        <f t="shared" si="9"/>
        <v>4325.820833333334</v>
      </c>
      <c r="M35" s="86">
        <f t="shared" si="10"/>
        <v>930.4708333333333</v>
      </c>
      <c r="N35" s="86">
        <f t="shared" si="11"/>
        <v>79734.71166666668</v>
      </c>
      <c r="O35" s="86">
        <f t="shared" si="12"/>
        <v>6777.450491666668</v>
      </c>
      <c r="P35" s="86">
        <f t="shared" si="13"/>
        <v>19295.80022333334</v>
      </c>
      <c r="Q35" s="86"/>
      <c r="R35" s="86">
        <f t="shared" si="15"/>
        <v>3606.421901333333</v>
      </c>
      <c r="S35" s="86">
        <f t="shared" si="17"/>
        <v>22902.222124666674</v>
      </c>
    </row>
    <row r="36" spans="1:19" ht="19.5" customHeight="1">
      <c r="A36" s="81" t="s">
        <v>10</v>
      </c>
      <c r="B36" s="82" t="s">
        <v>177</v>
      </c>
      <c r="C36" s="81">
        <v>2</v>
      </c>
      <c r="D36" s="82" t="s">
        <v>31</v>
      </c>
      <c r="E36" s="82" t="s">
        <v>42</v>
      </c>
      <c r="F36" s="82"/>
      <c r="G36" s="110">
        <f t="shared" si="16"/>
        <v>76711.93712260001</v>
      </c>
      <c r="H36" s="85">
        <v>33285.19</v>
      </c>
      <c r="I36" s="85">
        <v>6442.29</v>
      </c>
      <c r="J36" s="85">
        <v>10461.34</v>
      </c>
      <c r="K36" s="85"/>
      <c r="L36" s="86">
        <f t="shared" si="9"/>
        <v>3310.6233333333334</v>
      </c>
      <c r="M36" s="86">
        <f t="shared" si="10"/>
        <v>871.7783333333333</v>
      </c>
      <c r="N36" s="86">
        <f t="shared" si="11"/>
        <v>54371.22166666668</v>
      </c>
      <c r="O36" s="86">
        <f t="shared" si="12"/>
        <v>4621.553841666668</v>
      </c>
      <c r="P36" s="86">
        <f t="shared" si="13"/>
        <v>13157.835643333336</v>
      </c>
      <c r="Q36" s="86">
        <f t="shared" si="14"/>
        <v>1730.5290288</v>
      </c>
      <c r="R36" s="86">
        <f t="shared" si="15"/>
        <v>2830.7969421333332</v>
      </c>
      <c r="S36" s="86">
        <f t="shared" si="17"/>
        <v>17719.161614266668</v>
      </c>
    </row>
    <row r="37" spans="1:19" ht="19.5" customHeight="1">
      <c r="A37" s="81" t="s">
        <v>10</v>
      </c>
      <c r="B37" s="82" t="s">
        <v>177</v>
      </c>
      <c r="C37" s="81">
        <v>2</v>
      </c>
      <c r="D37" s="82" t="s">
        <v>34</v>
      </c>
      <c r="E37" s="82" t="s">
        <v>43</v>
      </c>
      <c r="F37" s="82" t="s">
        <v>103</v>
      </c>
      <c r="G37" s="110">
        <f t="shared" si="16"/>
        <v>116189.11190783334</v>
      </c>
      <c r="H37" s="85">
        <v>45977.3</v>
      </c>
      <c r="I37" s="85">
        <v>8898.82</v>
      </c>
      <c r="J37" s="85">
        <v>11165.65</v>
      </c>
      <c r="K37" s="85">
        <v>13157.21</v>
      </c>
      <c r="L37" s="86">
        <f t="shared" si="9"/>
        <v>4573.01</v>
      </c>
      <c r="M37" s="86">
        <f t="shared" si="10"/>
        <v>930.4708333333333</v>
      </c>
      <c r="N37" s="86">
        <f t="shared" si="11"/>
        <v>84702.46083333335</v>
      </c>
      <c r="O37" s="86">
        <f t="shared" si="12"/>
        <v>7199.709170833335</v>
      </c>
      <c r="P37" s="86">
        <f t="shared" si="13"/>
        <v>20497.995521666668</v>
      </c>
      <c r="Q37" s="86"/>
      <c r="R37" s="86">
        <f t="shared" si="15"/>
        <v>3788.9463819999996</v>
      </c>
      <c r="S37" s="86">
        <f t="shared" si="17"/>
        <v>24286.941903666666</v>
      </c>
    </row>
    <row r="38" spans="1:19" ht="19.5" customHeight="1">
      <c r="A38" s="81" t="s">
        <v>10</v>
      </c>
      <c r="B38" s="82" t="s">
        <v>177</v>
      </c>
      <c r="C38" s="81">
        <v>3</v>
      </c>
      <c r="D38" s="82" t="s">
        <v>31</v>
      </c>
      <c r="E38" s="82" t="s">
        <v>45</v>
      </c>
      <c r="F38" s="82"/>
      <c r="G38" s="110">
        <f t="shared" si="16"/>
        <v>79776.24834620001</v>
      </c>
      <c r="H38" s="85">
        <v>33285.19</v>
      </c>
      <c r="I38" s="85">
        <v>8428.65</v>
      </c>
      <c r="J38" s="85">
        <v>10461.34</v>
      </c>
      <c r="K38" s="85"/>
      <c r="L38" s="86">
        <f t="shared" si="9"/>
        <v>3476.1533333333336</v>
      </c>
      <c r="M38" s="86">
        <f t="shared" si="10"/>
        <v>871.7783333333333</v>
      </c>
      <c r="N38" s="86">
        <f t="shared" si="11"/>
        <v>56523.11166666668</v>
      </c>
      <c r="O38" s="86">
        <f t="shared" si="12"/>
        <v>4804.4644916666675</v>
      </c>
      <c r="P38" s="86">
        <f t="shared" si="13"/>
        <v>13678.593023333335</v>
      </c>
      <c r="Q38" s="86">
        <f t="shared" si="14"/>
        <v>1817.0548704</v>
      </c>
      <c r="R38" s="86">
        <f t="shared" si="15"/>
        <v>2953.0242941333336</v>
      </c>
      <c r="S38" s="86">
        <f t="shared" si="17"/>
        <v>18448.67218786667</v>
      </c>
    </row>
    <row r="39" spans="1:19" ht="19.5" customHeight="1">
      <c r="A39" s="81" t="s">
        <v>10</v>
      </c>
      <c r="B39" s="82" t="s">
        <v>177</v>
      </c>
      <c r="C39" s="81">
        <v>3</v>
      </c>
      <c r="D39" s="82" t="s">
        <v>34</v>
      </c>
      <c r="E39" s="82" t="s">
        <v>46</v>
      </c>
      <c r="F39" s="82" t="s">
        <v>105</v>
      </c>
      <c r="G39" s="110">
        <f t="shared" si="16"/>
        <v>126061.02002533336</v>
      </c>
      <c r="H39" s="85">
        <v>45977.3</v>
      </c>
      <c r="I39" s="85">
        <v>15483.97</v>
      </c>
      <c r="J39" s="85">
        <v>11165.65</v>
      </c>
      <c r="K39" s="85">
        <v>13157.21</v>
      </c>
      <c r="L39" s="86">
        <f t="shared" si="9"/>
        <v>5121.7725</v>
      </c>
      <c r="M39" s="86">
        <f t="shared" si="10"/>
        <v>930.4708333333333</v>
      </c>
      <c r="N39" s="86">
        <f t="shared" si="11"/>
        <v>91836.37333333335</v>
      </c>
      <c r="O39" s="86">
        <f t="shared" si="12"/>
        <v>7806.091733333335</v>
      </c>
      <c r="P39" s="86">
        <f t="shared" si="13"/>
        <v>22224.40234666667</v>
      </c>
      <c r="Q39" s="86"/>
      <c r="R39" s="86">
        <f t="shared" si="15"/>
        <v>4194.152612</v>
      </c>
      <c r="S39" s="86">
        <f t="shared" si="17"/>
        <v>26418.554958666668</v>
      </c>
    </row>
    <row r="40" spans="1:19" ht="19.5" customHeight="1">
      <c r="A40" s="81" t="s">
        <v>10</v>
      </c>
      <c r="B40" s="82" t="s">
        <v>177</v>
      </c>
      <c r="C40" s="81">
        <v>4</v>
      </c>
      <c r="D40" s="82" t="s">
        <v>31</v>
      </c>
      <c r="E40" s="82" t="s">
        <v>48</v>
      </c>
      <c r="F40" s="82"/>
      <c r="G40" s="110">
        <f t="shared" si="16"/>
        <v>81308.40395800001</v>
      </c>
      <c r="H40" s="85">
        <v>33285.19</v>
      </c>
      <c r="I40" s="85">
        <v>9421.83</v>
      </c>
      <c r="J40" s="85">
        <v>10461.34</v>
      </c>
      <c r="K40" s="85"/>
      <c r="L40" s="86">
        <f t="shared" si="9"/>
        <v>3558.9183333333335</v>
      </c>
      <c r="M40" s="86">
        <f t="shared" si="10"/>
        <v>871.7783333333333</v>
      </c>
      <c r="N40" s="86">
        <f t="shared" si="11"/>
        <v>57599.05666666667</v>
      </c>
      <c r="O40" s="86">
        <f t="shared" si="12"/>
        <v>4895.9198166666665</v>
      </c>
      <c r="P40" s="86">
        <f t="shared" si="13"/>
        <v>13938.971713333334</v>
      </c>
      <c r="Q40" s="86">
        <f t="shared" si="14"/>
        <v>1860.3177912</v>
      </c>
      <c r="R40" s="86">
        <f t="shared" si="15"/>
        <v>3014.1379701333335</v>
      </c>
      <c r="S40" s="86">
        <f t="shared" si="17"/>
        <v>18813.42747466667</v>
      </c>
    </row>
    <row r="41" spans="1:19" ht="19.5" customHeight="1">
      <c r="A41" s="115" t="s">
        <v>10</v>
      </c>
      <c r="B41" s="116" t="s">
        <v>177</v>
      </c>
      <c r="C41" s="115">
        <v>4</v>
      </c>
      <c r="D41" s="116" t="s">
        <v>34</v>
      </c>
      <c r="E41" s="116" t="s">
        <v>49</v>
      </c>
      <c r="F41" s="116" t="s">
        <v>107</v>
      </c>
      <c r="G41" s="110">
        <f t="shared" si="16"/>
        <v>130996.96658850001</v>
      </c>
      <c r="H41" s="86">
        <v>45977.3</v>
      </c>
      <c r="I41" s="86">
        <v>18776.54</v>
      </c>
      <c r="J41" s="86">
        <v>11165.65</v>
      </c>
      <c r="K41" s="86">
        <v>13157.21</v>
      </c>
      <c r="L41" s="86">
        <f t="shared" si="9"/>
        <v>5396.153333333334</v>
      </c>
      <c r="M41" s="86">
        <f t="shared" si="10"/>
        <v>930.4708333333333</v>
      </c>
      <c r="N41" s="86">
        <f t="shared" si="11"/>
        <v>95403.32416666669</v>
      </c>
      <c r="O41" s="86">
        <f t="shared" si="12"/>
        <v>8109.282554166669</v>
      </c>
      <c r="P41" s="86">
        <f t="shared" si="13"/>
        <v>23087.604448333335</v>
      </c>
      <c r="Q41" s="86"/>
      <c r="R41" s="86">
        <f t="shared" si="15"/>
        <v>4396.755419333333</v>
      </c>
      <c r="S41" s="86">
        <f t="shared" si="17"/>
        <v>27484.359867666666</v>
      </c>
    </row>
    <row r="42" spans="1:19" ht="19.5" customHeight="1">
      <c r="A42" s="115" t="s">
        <v>10</v>
      </c>
      <c r="B42" s="116" t="s">
        <v>177</v>
      </c>
      <c r="C42" s="115">
        <v>5</v>
      </c>
      <c r="D42" s="116" t="s">
        <v>31</v>
      </c>
      <c r="E42" s="116" t="s">
        <v>51</v>
      </c>
      <c r="F42" s="116" t="s">
        <v>87</v>
      </c>
      <c r="G42" s="110">
        <f t="shared" si="16"/>
        <v>84372.71518160001</v>
      </c>
      <c r="H42" s="86">
        <v>33285.19</v>
      </c>
      <c r="I42" s="86">
        <v>11408.19</v>
      </c>
      <c r="J42" s="86">
        <v>10461.34</v>
      </c>
      <c r="K42" s="86"/>
      <c r="L42" s="86">
        <f t="shared" si="9"/>
        <v>3724.4483333333337</v>
      </c>
      <c r="M42" s="86">
        <f t="shared" si="10"/>
        <v>871.7783333333333</v>
      </c>
      <c r="N42" s="86">
        <f t="shared" si="11"/>
        <v>59750.94666666667</v>
      </c>
      <c r="O42" s="86">
        <f t="shared" si="12"/>
        <v>5078.830466666667</v>
      </c>
      <c r="P42" s="86">
        <f t="shared" si="13"/>
        <v>14459.729093333333</v>
      </c>
      <c r="Q42" s="86">
        <f t="shared" si="14"/>
        <v>1946.8436328000003</v>
      </c>
      <c r="R42" s="86">
        <f t="shared" si="15"/>
        <v>3136.365322133333</v>
      </c>
      <c r="S42" s="86">
        <f t="shared" si="17"/>
        <v>19542.938048266667</v>
      </c>
    </row>
    <row r="43" spans="1:19" ht="19.5" customHeight="1">
      <c r="A43" s="115" t="s">
        <v>10</v>
      </c>
      <c r="B43" s="116" t="s">
        <v>177</v>
      </c>
      <c r="C43" s="115">
        <v>5</v>
      </c>
      <c r="D43" s="116" t="s">
        <v>34</v>
      </c>
      <c r="E43" s="116" t="s">
        <v>52</v>
      </c>
      <c r="F43" s="116" t="s">
        <v>109</v>
      </c>
      <c r="G43" s="110">
        <f t="shared" si="16"/>
        <v>140868.84472366667</v>
      </c>
      <c r="H43" s="86">
        <v>45977.3</v>
      </c>
      <c r="I43" s="86">
        <v>25361.67</v>
      </c>
      <c r="J43" s="86">
        <v>11165.65</v>
      </c>
      <c r="K43" s="86">
        <v>13157.21</v>
      </c>
      <c r="L43" s="86">
        <f t="shared" si="9"/>
        <v>5944.9141666666665</v>
      </c>
      <c r="M43" s="86">
        <f t="shared" si="10"/>
        <v>930.4708333333333</v>
      </c>
      <c r="N43" s="86">
        <f t="shared" si="11"/>
        <v>102537.215</v>
      </c>
      <c r="O43" s="86">
        <f t="shared" si="12"/>
        <v>8715.663275</v>
      </c>
      <c r="P43" s="86">
        <f t="shared" si="13"/>
        <v>24814.006029999997</v>
      </c>
      <c r="Q43" s="86"/>
      <c r="R43" s="86">
        <f t="shared" si="15"/>
        <v>4801.960418666667</v>
      </c>
      <c r="S43" s="86">
        <f t="shared" si="17"/>
        <v>29615.966448666662</v>
      </c>
    </row>
    <row r="44" spans="1:19" ht="19.5" customHeight="1">
      <c r="A44" s="115" t="s">
        <v>10</v>
      </c>
      <c r="B44" s="116" t="s">
        <v>177</v>
      </c>
      <c r="C44" s="115">
        <v>6</v>
      </c>
      <c r="D44" s="116" t="s">
        <v>31</v>
      </c>
      <c r="E44" s="116" t="s">
        <v>54</v>
      </c>
      <c r="F44" s="116" t="s">
        <v>89</v>
      </c>
      <c r="G44" s="110">
        <f t="shared" si="16"/>
        <v>85904.87079340001</v>
      </c>
      <c r="H44" s="86">
        <v>33285.19</v>
      </c>
      <c r="I44" s="86">
        <v>12401.37</v>
      </c>
      <c r="J44" s="86">
        <v>10461.34</v>
      </c>
      <c r="K44" s="86"/>
      <c r="L44" s="86">
        <f t="shared" si="9"/>
        <v>3807.2133333333336</v>
      </c>
      <c r="M44" s="86">
        <f t="shared" si="10"/>
        <v>871.7783333333333</v>
      </c>
      <c r="N44" s="86">
        <f t="shared" si="11"/>
        <v>60826.89166666668</v>
      </c>
      <c r="O44" s="86">
        <f t="shared" si="12"/>
        <v>5170.285791666668</v>
      </c>
      <c r="P44" s="86">
        <f t="shared" si="13"/>
        <v>14720.107783333335</v>
      </c>
      <c r="Q44" s="86">
        <f>(H44+I44)*18%*24.2%</f>
        <v>1990.1065535999999</v>
      </c>
      <c r="R44" s="86">
        <f t="shared" si="15"/>
        <v>3197.4789981333333</v>
      </c>
      <c r="S44" s="86">
        <f t="shared" si="17"/>
        <v>19907.69333506667</v>
      </c>
    </row>
    <row r="45" spans="1:19" ht="19.5" customHeight="1">
      <c r="A45" s="115" t="s">
        <v>10</v>
      </c>
      <c r="B45" s="116" t="s">
        <v>177</v>
      </c>
      <c r="C45" s="115">
        <v>6</v>
      </c>
      <c r="D45" s="116" t="s">
        <v>34</v>
      </c>
      <c r="E45" s="116" t="s">
        <v>56</v>
      </c>
      <c r="F45" s="116" t="s">
        <v>111</v>
      </c>
      <c r="G45" s="110">
        <f t="shared" si="16"/>
        <v>145804.77629566664</v>
      </c>
      <c r="H45" s="86">
        <v>45977.3</v>
      </c>
      <c r="I45" s="86">
        <v>28654.23</v>
      </c>
      <c r="J45" s="86">
        <v>11165.65</v>
      </c>
      <c r="K45" s="86">
        <v>13157.21</v>
      </c>
      <c r="L45" s="86">
        <f t="shared" si="9"/>
        <v>6219.294166666667</v>
      </c>
      <c r="M45" s="86">
        <f t="shared" si="10"/>
        <v>930.4708333333333</v>
      </c>
      <c r="N45" s="86">
        <f t="shared" si="11"/>
        <v>106104.15499999998</v>
      </c>
      <c r="O45" s="86">
        <f t="shared" si="12"/>
        <v>9018.853174999998</v>
      </c>
      <c r="P45" s="86">
        <f t="shared" si="13"/>
        <v>25677.205509999996</v>
      </c>
      <c r="Q45" s="86"/>
      <c r="R45" s="86">
        <f t="shared" si="15"/>
        <v>5004.562610666666</v>
      </c>
      <c r="S45" s="86">
        <f t="shared" si="17"/>
        <v>30681.76812066666</v>
      </c>
    </row>
    <row r="46" spans="1:19" ht="19.5" customHeight="1">
      <c r="A46" s="115" t="s">
        <v>10</v>
      </c>
      <c r="B46" s="116" t="s">
        <v>177</v>
      </c>
      <c r="C46" s="115">
        <v>7</v>
      </c>
      <c r="D46" s="116" t="s">
        <v>31</v>
      </c>
      <c r="E46" s="116" t="s">
        <v>208</v>
      </c>
      <c r="F46" s="116" t="s">
        <v>91</v>
      </c>
      <c r="G46" s="110">
        <f t="shared" si="16"/>
        <v>88969.182017</v>
      </c>
      <c r="H46" s="86">
        <v>33285.19</v>
      </c>
      <c r="I46" s="86">
        <v>14387.73</v>
      </c>
      <c r="J46" s="86">
        <v>10461.34</v>
      </c>
      <c r="K46" s="86"/>
      <c r="L46" s="86">
        <f t="shared" si="9"/>
        <v>3972.7433333333333</v>
      </c>
      <c r="M46" s="86">
        <f t="shared" si="10"/>
        <v>871.7783333333333</v>
      </c>
      <c r="N46" s="86">
        <f t="shared" si="11"/>
        <v>62978.78166666666</v>
      </c>
      <c r="O46" s="86">
        <f t="shared" si="12"/>
        <v>5353.196441666667</v>
      </c>
      <c r="P46" s="86">
        <f t="shared" si="13"/>
        <v>15240.865163333332</v>
      </c>
      <c r="Q46" s="86">
        <f t="shared" si="14"/>
        <v>2076.6323952</v>
      </c>
      <c r="R46" s="86">
        <f t="shared" si="15"/>
        <v>3319.7063501333328</v>
      </c>
      <c r="S46" s="86">
        <f t="shared" si="17"/>
        <v>20637.203908666663</v>
      </c>
    </row>
    <row r="47" spans="1:19" ht="19.5" customHeight="1">
      <c r="A47" s="115" t="s">
        <v>10</v>
      </c>
      <c r="B47" s="116" t="s">
        <v>177</v>
      </c>
      <c r="C47" s="115">
        <v>7</v>
      </c>
      <c r="D47" s="116" t="s">
        <v>34</v>
      </c>
      <c r="E47" s="116" t="s">
        <v>58</v>
      </c>
      <c r="F47" s="116" t="s">
        <v>113</v>
      </c>
      <c r="G47" s="110">
        <f t="shared" si="16"/>
        <v>155676.669422</v>
      </c>
      <c r="H47" s="86">
        <v>45977.3</v>
      </c>
      <c r="I47" s="86">
        <v>35239.37</v>
      </c>
      <c r="J47" s="86">
        <v>11165.65</v>
      </c>
      <c r="K47" s="86">
        <v>13157.21</v>
      </c>
      <c r="L47" s="86">
        <f t="shared" si="9"/>
        <v>6768.055833333335</v>
      </c>
      <c r="M47" s="86">
        <f t="shared" si="10"/>
        <v>930.4708333333333</v>
      </c>
      <c r="N47" s="86">
        <f t="shared" si="11"/>
        <v>113238.05666666667</v>
      </c>
      <c r="O47" s="86">
        <f t="shared" si="12"/>
        <v>9625.234816666667</v>
      </c>
      <c r="P47" s="86">
        <f t="shared" si="13"/>
        <v>27403.60971333333</v>
      </c>
      <c r="Q47" s="86"/>
      <c r="R47" s="86">
        <f t="shared" si="15"/>
        <v>5409.768225333333</v>
      </c>
      <c r="S47" s="86">
        <f t="shared" si="17"/>
        <v>32813.377938666665</v>
      </c>
    </row>
    <row r="48" spans="1:19" ht="19.5" customHeight="1">
      <c r="A48" s="115" t="s">
        <v>10</v>
      </c>
      <c r="B48" s="116" t="s">
        <v>177</v>
      </c>
      <c r="C48" s="115">
        <v>8</v>
      </c>
      <c r="D48" s="116" t="s">
        <v>31</v>
      </c>
      <c r="E48" s="116" t="s">
        <v>209</v>
      </c>
      <c r="F48" s="116"/>
      <c r="G48" s="110">
        <f t="shared" si="16"/>
        <v>90501.3376288</v>
      </c>
      <c r="H48" s="86">
        <v>33285.19</v>
      </c>
      <c r="I48" s="86">
        <v>15380.91</v>
      </c>
      <c r="J48" s="86">
        <v>10461.34</v>
      </c>
      <c r="K48" s="86"/>
      <c r="L48" s="86">
        <f t="shared" si="9"/>
        <v>4055.5083333333337</v>
      </c>
      <c r="M48" s="86">
        <f t="shared" si="10"/>
        <v>871.7783333333333</v>
      </c>
      <c r="N48" s="86">
        <f t="shared" si="11"/>
        <v>64054.72666666667</v>
      </c>
      <c r="O48" s="86">
        <f t="shared" si="12"/>
        <v>5444.651766666666</v>
      </c>
      <c r="P48" s="86">
        <f t="shared" si="13"/>
        <v>15501.243853333333</v>
      </c>
      <c r="Q48" s="86">
        <f t="shared" si="14"/>
        <v>2119.895316</v>
      </c>
      <c r="R48" s="86">
        <f t="shared" si="15"/>
        <v>3380.8200261333336</v>
      </c>
      <c r="S48" s="86">
        <f t="shared" si="17"/>
        <v>21001.95919546667</v>
      </c>
    </row>
    <row r="49" spans="1:19" ht="19.5" customHeight="1">
      <c r="A49" s="115" t="s">
        <v>10</v>
      </c>
      <c r="B49" s="116" t="s">
        <v>177</v>
      </c>
      <c r="C49" s="115">
        <v>8</v>
      </c>
      <c r="D49" s="116" t="s">
        <v>34</v>
      </c>
      <c r="E49" s="116" t="s">
        <v>60</v>
      </c>
      <c r="F49" s="116" t="s">
        <v>113</v>
      </c>
      <c r="G49" s="110">
        <f t="shared" si="16"/>
        <v>158720.50588433334</v>
      </c>
      <c r="H49" s="86">
        <v>45977.3</v>
      </c>
      <c r="I49" s="86">
        <v>37269.79</v>
      </c>
      <c r="J49" s="86">
        <v>11165.65</v>
      </c>
      <c r="K49" s="86">
        <v>13157.21</v>
      </c>
      <c r="L49" s="86">
        <f t="shared" si="9"/>
        <v>6937.2575</v>
      </c>
      <c r="M49" s="86">
        <f t="shared" si="10"/>
        <v>930.4708333333333</v>
      </c>
      <c r="N49" s="86">
        <f t="shared" si="11"/>
        <v>115437.67833333333</v>
      </c>
      <c r="O49" s="86">
        <f t="shared" si="12"/>
        <v>9812.202658333332</v>
      </c>
      <c r="P49" s="86">
        <f t="shared" si="13"/>
        <v>27935.918156666667</v>
      </c>
      <c r="Q49" s="86"/>
      <c r="R49" s="86">
        <f t="shared" si="15"/>
        <v>5534.706735999999</v>
      </c>
      <c r="S49" s="86">
        <f t="shared" si="17"/>
        <v>33470.62489266667</v>
      </c>
    </row>
    <row r="50" spans="1:19" ht="19.5" customHeight="1">
      <c r="A50" s="115" t="s">
        <v>10</v>
      </c>
      <c r="B50" s="116" t="s">
        <v>177</v>
      </c>
      <c r="C50" s="115">
        <v>9</v>
      </c>
      <c r="D50" s="116" t="s">
        <v>31</v>
      </c>
      <c r="E50" s="116" t="s">
        <v>210</v>
      </c>
      <c r="F50" s="116" t="s">
        <v>94</v>
      </c>
      <c r="G50" s="110">
        <f t="shared" si="16"/>
        <v>93565.6488524</v>
      </c>
      <c r="H50" s="86">
        <v>33285.19</v>
      </c>
      <c r="I50" s="86">
        <v>17367.27</v>
      </c>
      <c r="J50" s="86">
        <v>10461.34</v>
      </c>
      <c r="K50" s="86"/>
      <c r="L50" s="86">
        <f t="shared" si="9"/>
        <v>4221.038333333334</v>
      </c>
      <c r="M50" s="86">
        <f t="shared" si="10"/>
        <v>871.7783333333333</v>
      </c>
      <c r="N50" s="86">
        <f t="shared" si="11"/>
        <v>66206.61666666667</v>
      </c>
      <c r="O50" s="86">
        <f t="shared" si="12"/>
        <v>5627.562416666667</v>
      </c>
      <c r="P50" s="86">
        <f t="shared" si="13"/>
        <v>16022.001233333332</v>
      </c>
      <c r="Q50" s="86">
        <f t="shared" si="14"/>
        <v>2206.4211576000002</v>
      </c>
      <c r="R50" s="86">
        <f t="shared" si="15"/>
        <v>3503.047378133333</v>
      </c>
      <c r="S50" s="86">
        <f t="shared" si="17"/>
        <v>21731.469769066665</v>
      </c>
    </row>
    <row r="51" spans="1:19" ht="19.5" customHeight="1">
      <c r="A51" s="115" t="s">
        <v>10</v>
      </c>
      <c r="B51" s="116" t="s">
        <v>177</v>
      </c>
      <c r="C51" s="115">
        <v>9</v>
      </c>
      <c r="D51" s="116" t="s">
        <v>34</v>
      </c>
      <c r="E51" s="116" t="s">
        <v>62</v>
      </c>
      <c r="F51" s="116" t="s">
        <v>113</v>
      </c>
      <c r="G51" s="110">
        <f t="shared" si="16"/>
        <v>164808.17880899998</v>
      </c>
      <c r="H51" s="86">
        <v>45977.3</v>
      </c>
      <c r="I51" s="86">
        <v>41330.63</v>
      </c>
      <c r="J51" s="86">
        <v>11165.65</v>
      </c>
      <c r="K51" s="86">
        <v>13157.21</v>
      </c>
      <c r="L51" s="86">
        <f t="shared" si="9"/>
        <v>7275.660833333332</v>
      </c>
      <c r="M51" s="86">
        <f t="shared" si="10"/>
        <v>930.4708333333333</v>
      </c>
      <c r="N51" s="86">
        <f t="shared" si="11"/>
        <v>119836.92166666665</v>
      </c>
      <c r="O51" s="86">
        <f t="shared" si="12"/>
        <v>10186.138341666665</v>
      </c>
      <c r="P51" s="86">
        <f t="shared" si="13"/>
        <v>29000.535043333326</v>
      </c>
      <c r="Q51" s="86"/>
      <c r="R51" s="86">
        <f t="shared" si="15"/>
        <v>5784.583757333332</v>
      </c>
      <c r="S51" s="86">
        <f t="shared" si="17"/>
        <v>34785.118800666656</v>
      </c>
    </row>
    <row r="52" spans="1:19" ht="19.5" customHeight="1">
      <c r="A52" s="115" t="s">
        <v>10</v>
      </c>
      <c r="B52" s="116" t="s">
        <v>177</v>
      </c>
      <c r="C52" s="115">
        <v>10</v>
      </c>
      <c r="D52" s="116" t="s">
        <v>31</v>
      </c>
      <c r="E52" s="116" t="s">
        <v>211</v>
      </c>
      <c r="F52" s="116"/>
      <c r="G52" s="110">
        <f t="shared" si="16"/>
        <v>95097.80446419999</v>
      </c>
      <c r="H52" s="86">
        <v>33285.19</v>
      </c>
      <c r="I52" s="86">
        <v>18360.45</v>
      </c>
      <c r="J52" s="86">
        <v>10461.34</v>
      </c>
      <c r="K52" s="86"/>
      <c r="L52" s="86">
        <f t="shared" si="9"/>
        <v>4303.803333333333</v>
      </c>
      <c r="M52" s="86">
        <f t="shared" si="10"/>
        <v>871.7783333333333</v>
      </c>
      <c r="N52" s="86">
        <f t="shared" si="11"/>
        <v>67282.56166666666</v>
      </c>
      <c r="O52" s="86">
        <f t="shared" si="12"/>
        <v>5719.017741666667</v>
      </c>
      <c r="P52" s="86">
        <f t="shared" si="13"/>
        <v>16282.379923333332</v>
      </c>
      <c r="Q52" s="86">
        <f t="shared" si="14"/>
        <v>2249.6840783999996</v>
      </c>
      <c r="R52" s="86">
        <f t="shared" si="15"/>
        <v>3564.1610541333325</v>
      </c>
      <c r="S52" s="86">
        <f t="shared" si="17"/>
        <v>22096.225055866664</v>
      </c>
    </row>
    <row r="53" spans="1:19" ht="19.5" customHeight="1">
      <c r="A53" s="115" t="s">
        <v>10</v>
      </c>
      <c r="B53" s="116" t="s">
        <v>177</v>
      </c>
      <c r="C53" s="115">
        <v>10</v>
      </c>
      <c r="D53" s="116" t="s">
        <v>34</v>
      </c>
      <c r="E53" s="116" t="s">
        <v>64</v>
      </c>
      <c r="F53" s="116" t="s">
        <v>113</v>
      </c>
      <c r="G53" s="110">
        <f t="shared" si="16"/>
        <v>167852.01527133334</v>
      </c>
      <c r="H53" s="86">
        <v>45977.3</v>
      </c>
      <c r="I53" s="86">
        <v>43361.05</v>
      </c>
      <c r="J53" s="86">
        <v>11165.65</v>
      </c>
      <c r="K53" s="86">
        <v>13157.21</v>
      </c>
      <c r="L53" s="86">
        <f t="shared" si="9"/>
        <v>7444.8625</v>
      </c>
      <c r="M53" s="86">
        <f t="shared" si="10"/>
        <v>930.4708333333333</v>
      </c>
      <c r="N53" s="86">
        <f t="shared" si="11"/>
        <v>122036.54333333333</v>
      </c>
      <c r="O53" s="86">
        <f t="shared" si="12"/>
        <v>10373.106183333333</v>
      </c>
      <c r="P53" s="86">
        <f t="shared" si="13"/>
        <v>29532.843486666665</v>
      </c>
      <c r="Q53" s="86"/>
      <c r="R53" s="86">
        <f t="shared" si="15"/>
        <v>5909.522268</v>
      </c>
      <c r="S53" s="86">
        <f t="shared" si="17"/>
        <v>35442.365754666665</v>
      </c>
    </row>
    <row r="54" spans="1:19" ht="19.5" customHeight="1">
      <c r="A54" s="115" t="s">
        <v>10</v>
      </c>
      <c r="B54" s="116" t="s">
        <v>177</v>
      </c>
      <c r="C54" s="115">
        <v>11</v>
      </c>
      <c r="D54" s="116" t="s">
        <v>31</v>
      </c>
      <c r="E54" s="116" t="s">
        <v>212</v>
      </c>
      <c r="F54" s="116" t="s">
        <v>97</v>
      </c>
      <c r="G54" s="110">
        <f t="shared" si="16"/>
        <v>98162.11568779999</v>
      </c>
      <c r="H54" s="86">
        <v>33285.19</v>
      </c>
      <c r="I54" s="86">
        <v>20346.81</v>
      </c>
      <c r="J54" s="86">
        <v>10461.34</v>
      </c>
      <c r="K54" s="86"/>
      <c r="L54" s="86">
        <f t="shared" si="9"/>
        <v>4469.333333333333</v>
      </c>
      <c r="M54" s="86">
        <f t="shared" si="10"/>
        <v>871.7783333333333</v>
      </c>
      <c r="N54" s="86">
        <f t="shared" si="11"/>
        <v>69434.45166666666</v>
      </c>
      <c r="O54" s="86">
        <f t="shared" si="12"/>
        <v>5901.928391666666</v>
      </c>
      <c r="P54" s="86">
        <f t="shared" si="13"/>
        <v>16803.137303333333</v>
      </c>
      <c r="Q54" s="86">
        <f t="shared" si="14"/>
        <v>2336.20992</v>
      </c>
      <c r="R54" s="86">
        <f t="shared" si="15"/>
        <v>3686.3884061333333</v>
      </c>
      <c r="S54" s="86">
        <f t="shared" si="17"/>
        <v>22825.735629466668</v>
      </c>
    </row>
    <row r="55" spans="1:19" ht="19.5" customHeight="1" thickBot="1">
      <c r="A55" s="138" t="s">
        <v>10</v>
      </c>
      <c r="B55" s="139" t="s">
        <v>177</v>
      </c>
      <c r="C55" s="138">
        <v>11</v>
      </c>
      <c r="D55" s="139" t="s">
        <v>34</v>
      </c>
      <c r="E55" s="139" t="s">
        <v>66</v>
      </c>
      <c r="F55" s="139" t="s">
        <v>113</v>
      </c>
      <c r="G55" s="93">
        <f t="shared" si="16"/>
        <v>173939.688196</v>
      </c>
      <c r="H55" s="94">
        <v>45977.3</v>
      </c>
      <c r="I55" s="94">
        <v>47421.89</v>
      </c>
      <c r="J55" s="94">
        <v>11165.65</v>
      </c>
      <c r="K55" s="94">
        <v>13157.21</v>
      </c>
      <c r="L55" s="94">
        <f t="shared" si="9"/>
        <v>7783.265833333334</v>
      </c>
      <c r="M55" s="94">
        <f t="shared" si="10"/>
        <v>930.4708333333333</v>
      </c>
      <c r="N55" s="94">
        <f t="shared" si="11"/>
        <v>126435.78666666667</v>
      </c>
      <c r="O55" s="94">
        <f t="shared" si="12"/>
        <v>10747.041866666668</v>
      </c>
      <c r="P55" s="94">
        <f t="shared" si="13"/>
        <v>30597.460373333335</v>
      </c>
      <c r="Q55" s="94"/>
      <c r="R55" s="94">
        <f t="shared" si="15"/>
        <v>6159.399289333333</v>
      </c>
      <c r="S55" s="94">
        <f t="shared" si="17"/>
        <v>36756.85966266667</v>
      </c>
    </row>
    <row r="56" spans="1:19" ht="13.5" thickTop="1">
      <c r="A56" s="144"/>
      <c r="B56" s="54"/>
      <c r="C56" s="14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.75">
      <c r="A57" s="144"/>
      <c r="B57" s="54"/>
      <c r="C57" s="14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.75">
      <c r="A58" s="52"/>
      <c r="B58" s="53"/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4"/>
      <c r="N58" s="54"/>
      <c r="O58" s="54"/>
      <c r="P58" s="54"/>
      <c r="Q58" s="54"/>
      <c r="R58" s="54"/>
      <c r="S58" s="54"/>
    </row>
    <row r="59" spans="1:19" ht="12.75">
      <c r="A59" s="52"/>
      <c r="B59" s="53"/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4"/>
      <c r="N59" s="54"/>
      <c r="O59" s="54"/>
      <c r="P59" s="54"/>
      <c r="Q59" s="54"/>
      <c r="R59" s="54"/>
      <c r="S59" s="54"/>
    </row>
    <row r="60" spans="1:19" ht="12.75">
      <c r="A60" s="52"/>
      <c r="B60" s="53"/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4"/>
      <c r="N60" s="54"/>
      <c r="O60" s="54"/>
      <c r="P60" s="54"/>
      <c r="Q60" s="54"/>
      <c r="R60" s="54"/>
      <c r="S60" s="54"/>
    </row>
    <row r="61" spans="1:19" ht="12.75">
      <c r="A61" s="52"/>
      <c r="B61" s="53"/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4"/>
      <c r="N61" s="54"/>
      <c r="O61" s="54"/>
      <c r="P61" s="54"/>
      <c r="Q61" s="54"/>
      <c r="R61" s="54"/>
      <c r="S61" s="54"/>
    </row>
    <row r="62" spans="1:19" ht="12.75">
      <c r="A62" s="52"/>
      <c r="B62" s="53"/>
      <c r="C62" s="52"/>
      <c r="D62" s="53"/>
      <c r="E62" s="53"/>
      <c r="F62" s="53"/>
      <c r="G62" s="53"/>
      <c r="H62" s="53"/>
      <c r="I62" s="53"/>
      <c r="J62" s="53"/>
      <c r="K62" s="53"/>
      <c r="L62" s="54"/>
      <c r="M62" s="54"/>
      <c r="N62" s="54"/>
      <c r="O62" s="54"/>
      <c r="P62" s="54"/>
      <c r="Q62" s="54"/>
      <c r="R62" s="54"/>
      <c r="S62" s="54"/>
    </row>
    <row r="63" spans="1:19" ht="12.75">
      <c r="A63" s="52"/>
      <c r="B63" s="53"/>
      <c r="C63" s="52"/>
      <c r="D63" s="53"/>
      <c r="E63" s="53"/>
      <c r="F63" s="53"/>
      <c r="G63" s="53"/>
      <c r="H63" s="53"/>
      <c r="I63" s="53"/>
      <c r="J63" s="53"/>
      <c r="K63" s="53"/>
      <c r="L63" s="54"/>
      <c r="M63" s="54"/>
      <c r="N63" s="54"/>
      <c r="O63" s="54"/>
      <c r="P63" s="54"/>
      <c r="Q63" s="54"/>
      <c r="R63" s="54"/>
      <c r="S63" s="54"/>
    </row>
    <row r="64" spans="1:19" ht="12.75">
      <c r="A64" s="52"/>
      <c r="B64" s="53"/>
      <c r="C64" s="52"/>
      <c r="D64" s="53"/>
      <c r="E64" s="53"/>
      <c r="F64" s="53"/>
      <c r="G64" s="53"/>
      <c r="H64" s="53"/>
      <c r="I64" s="53"/>
      <c r="J64" s="53"/>
      <c r="K64" s="53"/>
      <c r="L64" s="54"/>
      <c r="M64" s="54"/>
      <c r="N64" s="54"/>
      <c r="O64" s="54"/>
      <c r="P64" s="54"/>
      <c r="Q64" s="54"/>
      <c r="R64" s="54"/>
      <c r="S64" s="54"/>
    </row>
    <row r="65" spans="1:19" ht="12.75">
      <c r="A65" s="52"/>
      <c r="B65" s="53"/>
      <c r="C65" s="52"/>
      <c r="D65" s="53"/>
      <c r="E65" s="53"/>
      <c r="F65" s="53"/>
      <c r="G65" s="53"/>
      <c r="H65" s="53"/>
      <c r="I65" s="53"/>
      <c r="J65" s="53"/>
      <c r="K65" s="53"/>
      <c r="L65" s="54"/>
      <c r="M65" s="54"/>
      <c r="N65" s="54"/>
      <c r="O65" s="54"/>
      <c r="P65" s="54"/>
      <c r="Q65" s="54"/>
      <c r="R65" s="54"/>
      <c r="S65" s="54"/>
    </row>
    <row r="66" spans="1:19" ht="12.75">
      <c r="A66" s="52"/>
      <c r="B66" s="53"/>
      <c r="C66" s="52"/>
      <c r="D66" s="53"/>
      <c r="E66" s="53"/>
      <c r="F66" s="53"/>
      <c r="G66" s="53"/>
      <c r="H66" s="53"/>
      <c r="I66" s="53"/>
      <c r="J66" s="53"/>
      <c r="K66" s="53"/>
      <c r="L66" s="54"/>
      <c r="M66" s="54"/>
      <c r="N66" s="54"/>
      <c r="O66" s="54"/>
      <c r="P66" s="54"/>
      <c r="Q66" s="54"/>
      <c r="R66" s="54"/>
      <c r="S66" s="54"/>
    </row>
    <row r="67" spans="1:19" ht="12.75">
      <c r="A67" s="52"/>
      <c r="B67" s="53"/>
      <c r="C67" s="52"/>
      <c r="D67" s="53"/>
      <c r="E67" s="53"/>
      <c r="F67" s="53"/>
      <c r="G67" s="53"/>
      <c r="H67" s="53"/>
      <c r="I67" s="53"/>
      <c r="J67" s="53"/>
      <c r="K67" s="53"/>
      <c r="L67" s="54"/>
      <c r="M67" s="54"/>
      <c r="N67" s="54"/>
      <c r="O67" s="54"/>
      <c r="P67" s="54"/>
      <c r="Q67" s="54"/>
      <c r="R67" s="54"/>
      <c r="S67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PageLayoutView="0" workbookViewId="0" topLeftCell="A10">
      <selection activeCell="H8" sqref="H8:J8"/>
    </sheetView>
  </sheetViews>
  <sheetFormatPr defaultColWidth="9.140625" defaultRowHeight="15"/>
  <cols>
    <col min="1" max="1" width="14.00390625" style="0" customWidth="1"/>
    <col min="2" max="2" width="16.421875" style="0" customWidth="1"/>
    <col min="3" max="3" width="80.57421875" style="0" customWidth="1"/>
    <col min="4" max="4" width="12.57421875" style="0" customWidth="1"/>
    <col min="5" max="5" width="11.7109375" style="0" customWidth="1"/>
    <col min="8" max="8" width="14.00390625" style="0" customWidth="1"/>
  </cols>
  <sheetData>
    <row r="1" ht="20.25" customHeight="1" thickBot="1">
      <c r="A1" s="213" t="s">
        <v>306</v>
      </c>
    </row>
    <row r="2" spans="1:4" s="204" customFormat="1" ht="33.75" customHeight="1">
      <c r="A2" s="347" t="s">
        <v>263</v>
      </c>
      <c r="B2" s="348" t="s">
        <v>286</v>
      </c>
      <c r="C2" s="317"/>
      <c r="D2" s="317"/>
    </row>
    <row r="3" spans="1:3" s="204" customFormat="1" ht="51.75" customHeight="1" thickBot="1">
      <c r="A3" s="205">
        <f>+B12</f>
        <v>0</v>
      </c>
      <c r="B3" s="349">
        <f>+A3-B6</f>
        <v>0</v>
      </c>
      <c r="C3" s="371"/>
    </row>
    <row r="4" spans="1:5" s="204" customFormat="1" ht="12.75" customHeight="1">
      <c r="A4" s="367"/>
      <c r="B4" s="358"/>
      <c r="C4" s="358"/>
      <c r="D4" s="368"/>
      <c r="E4" s="368"/>
    </row>
    <row r="5" spans="1:3" s="204" customFormat="1" ht="15">
      <c r="A5" s="369" t="s">
        <v>0</v>
      </c>
      <c r="B5" s="369" t="s">
        <v>1</v>
      </c>
      <c r="C5" s="370" t="s">
        <v>238</v>
      </c>
    </row>
    <row r="6" spans="1:10" s="204" customFormat="1" ht="30.75" customHeight="1" thickBot="1">
      <c r="A6" s="360" t="s">
        <v>264</v>
      </c>
      <c r="B6" s="210"/>
      <c r="C6" s="206" t="s">
        <v>310</v>
      </c>
      <c r="F6" s="379" t="s">
        <v>305</v>
      </c>
      <c r="G6" s="379"/>
      <c r="H6" s="379"/>
      <c r="I6" s="379"/>
      <c r="J6" s="379"/>
    </row>
    <row r="7" spans="1:10" s="204" customFormat="1" ht="42.75" customHeight="1" thickBot="1">
      <c r="A7" s="360" t="s">
        <v>265</v>
      </c>
      <c r="B7" s="210"/>
      <c r="C7" s="206" t="s">
        <v>298</v>
      </c>
      <c r="F7" s="377" t="s">
        <v>302</v>
      </c>
      <c r="G7" s="378"/>
      <c r="H7" s="364">
        <f>+B12*20%</f>
        <v>0</v>
      </c>
      <c r="I7" s="365" t="s">
        <v>303</v>
      </c>
      <c r="J7" s="366" t="e">
        <f>+B6/B12</f>
        <v>#DIV/0!</v>
      </c>
    </row>
    <row r="8" spans="1:10" s="204" customFormat="1" ht="48" customHeight="1">
      <c r="A8" s="361" t="s">
        <v>2</v>
      </c>
      <c r="B8" s="211">
        <f>0.6*(B6+B7)</f>
        <v>0</v>
      </c>
      <c r="C8" s="207" t="s">
        <v>299</v>
      </c>
      <c r="F8" s="380" t="s">
        <v>304</v>
      </c>
      <c r="G8" s="381"/>
      <c r="H8" s="382" t="s">
        <v>312</v>
      </c>
      <c r="I8" s="382"/>
      <c r="J8" s="383"/>
    </row>
    <row r="9" spans="1:3" s="204" customFormat="1" ht="24">
      <c r="A9" s="362" t="s">
        <v>3</v>
      </c>
      <c r="B9" s="210"/>
      <c r="C9" s="206" t="s">
        <v>277</v>
      </c>
    </row>
    <row r="10" spans="1:3" s="204" customFormat="1" ht="60">
      <c r="A10" s="362" t="s">
        <v>4</v>
      </c>
      <c r="B10" s="210"/>
      <c r="C10" s="206" t="s">
        <v>300</v>
      </c>
    </row>
    <row r="11" spans="1:10" s="204" customFormat="1" ht="60.75" thickBot="1">
      <c r="A11" s="363" t="s">
        <v>5</v>
      </c>
      <c r="B11" s="323"/>
      <c r="C11" s="324" t="s">
        <v>301</v>
      </c>
      <c r="I11" s="317"/>
      <c r="J11" s="317"/>
    </row>
    <row r="12" spans="1:3" s="204" customFormat="1" ht="31.5" customHeight="1" thickTop="1">
      <c r="A12" s="372" t="s">
        <v>307</v>
      </c>
      <c r="B12" s="212">
        <f>SUM(B6:B11)</f>
        <v>0</v>
      </c>
      <c r="C12" s="209"/>
    </row>
    <row r="13" spans="1:3" s="204" customFormat="1" ht="27" customHeight="1">
      <c r="A13" s="359"/>
      <c r="B13" s="359"/>
      <c r="C13" s="359"/>
    </row>
    <row r="14" s="204" customFormat="1" ht="15">
      <c r="A14" s="316" t="s">
        <v>239</v>
      </c>
    </row>
    <row r="15" spans="1:3" s="204" customFormat="1" ht="39.75" customHeight="1">
      <c r="A15" s="373" t="s">
        <v>311</v>
      </c>
      <c r="B15" s="373"/>
      <c r="C15" s="373"/>
    </row>
    <row r="16" spans="1:3" s="204" customFormat="1" ht="43.5" customHeight="1">
      <c r="A16" s="373" t="s">
        <v>308</v>
      </c>
      <c r="B16" s="373"/>
      <c r="C16" s="373"/>
    </row>
    <row r="17" spans="1:3" s="204" customFormat="1" ht="25.5" customHeight="1">
      <c r="A17" s="373" t="s">
        <v>276</v>
      </c>
      <c r="B17" s="373"/>
      <c r="C17" s="373"/>
    </row>
  </sheetData>
  <sheetProtection/>
  <mergeCells count="7">
    <mergeCell ref="A16:C16"/>
    <mergeCell ref="A17:C17"/>
    <mergeCell ref="F6:J6"/>
    <mergeCell ref="F7:G7"/>
    <mergeCell ref="F8:G8"/>
    <mergeCell ref="H8:J8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PageLayoutView="0" workbookViewId="0" topLeftCell="A1">
      <selection activeCell="H8" sqref="H8:J8"/>
    </sheetView>
  </sheetViews>
  <sheetFormatPr defaultColWidth="9.140625" defaultRowHeight="15"/>
  <cols>
    <col min="1" max="1" width="14.00390625" style="0" customWidth="1"/>
    <col min="2" max="2" width="16.421875" style="0" customWidth="1"/>
    <col min="3" max="3" width="80.57421875" style="0" customWidth="1"/>
    <col min="4" max="4" width="12.57421875" style="0" customWidth="1"/>
    <col min="5" max="5" width="11.7109375" style="0" customWidth="1"/>
    <col min="8" max="8" width="14.00390625" style="0" customWidth="1"/>
  </cols>
  <sheetData>
    <row r="1" ht="20.25" customHeight="1" thickBot="1">
      <c r="A1" s="213" t="s">
        <v>306</v>
      </c>
    </row>
    <row r="2" spans="1:4" s="204" customFormat="1" ht="33.75" customHeight="1">
      <c r="A2" s="347" t="s">
        <v>263</v>
      </c>
      <c r="B2" s="348" t="s">
        <v>286</v>
      </c>
      <c r="C2" s="317"/>
      <c r="D2" s="317"/>
    </row>
    <row r="3" spans="1:3" s="204" customFormat="1" ht="51.75" customHeight="1" thickBot="1">
      <c r="A3" s="205">
        <f>+B12</f>
        <v>0</v>
      </c>
      <c r="B3" s="349">
        <f>+A3-B6</f>
        <v>0</v>
      </c>
      <c r="C3" s="371"/>
    </row>
    <row r="4" spans="1:5" s="204" customFormat="1" ht="12.75" customHeight="1">
      <c r="A4" s="367"/>
      <c r="B4" s="358"/>
      <c r="C4" s="358"/>
      <c r="D4" s="368"/>
      <c r="E4" s="368"/>
    </row>
    <row r="5" spans="1:3" s="204" customFormat="1" ht="15">
      <c r="A5" s="369" t="s">
        <v>0</v>
      </c>
      <c r="B5" s="369" t="s">
        <v>1</v>
      </c>
      <c r="C5" s="370" t="s">
        <v>238</v>
      </c>
    </row>
    <row r="6" spans="1:10" s="204" customFormat="1" ht="30.75" customHeight="1" thickBot="1">
      <c r="A6" s="360" t="s">
        <v>264</v>
      </c>
      <c r="B6" s="210"/>
      <c r="C6" s="206" t="s">
        <v>310</v>
      </c>
      <c r="F6" s="379" t="s">
        <v>305</v>
      </c>
      <c r="G6" s="379"/>
      <c r="H6" s="379"/>
      <c r="I6" s="379"/>
      <c r="J6" s="379"/>
    </row>
    <row r="7" spans="1:10" s="204" customFormat="1" ht="42.75" customHeight="1" thickBot="1">
      <c r="A7" s="360" t="s">
        <v>265</v>
      </c>
      <c r="B7" s="210"/>
      <c r="C7" s="206" t="s">
        <v>298</v>
      </c>
      <c r="F7" s="377" t="s">
        <v>302</v>
      </c>
      <c r="G7" s="378"/>
      <c r="H7" s="364">
        <f>+B12*20%</f>
        <v>0</v>
      </c>
      <c r="I7" s="365" t="s">
        <v>303</v>
      </c>
      <c r="J7" s="366" t="e">
        <f>+B6/B12</f>
        <v>#DIV/0!</v>
      </c>
    </row>
    <row r="8" spans="1:10" s="204" customFormat="1" ht="48" customHeight="1">
      <c r="A8" s="361" t="s">
        <v>2</v>
      </c>
      <c r="B8" s="211">
        <f>0.6*(B6+B7)</f>
        <v>0</v>
      </c>
      <c r="C8" s="207" t="s">
        <v>299</v>
      </c>
      <c r="F8" s="380" t="s">
        <v>304</v>
      </c>
      <c r="G8" s="381"/>
      <c r="H8" s="382" t="s">
        <v>312</v>
      </c>
      <c r="I8" s="382"/>
      <c r="J8" s="383"/>
    </row>
    <row r="9" spans="1:3" s="204" customFormat="1" ht="24">
      <c r="A9" s="362" t="s">
        <v>3</v>
      </c>
      <c r="B9" s="210"/>
      <c r="C9" s="206" t="s">
        <v>277</v>
      </c>
    </row>
    <row r="10" spans="1:3" s="204" customFormat="1" ht="60">
      <c r="A10" s="362" t="s">
        <v>4</v>
      </c>
      <c r="B10" s="210"/>
      <c r="C10" s="206" t="s">
        <v>300</v>
      </c>
    </row>
    <row r="11" spans="1:10" s="204" customFormat="1" ht="60.75" thickBot="1">
      <c r="A11" s="363" t="s">
        <v>5</v>
      </c>
      <c r="B11" s="323"/>
      <c r="C11" s="324" t="s">
        <v>301</v>
      </c>
      <c r="I11" s="317"/>
      <c r="J11" s="317"/>
    </row>
    <row r="12" spans="1:3" s="204" customFormat="1" ht="31.5" customHeight="1" thickTop="1">
      <c r="A12" s="372" t="s">
        <v>307</v>
      </c>
      <c r="B12" s="212">
        <f>SUM(B6:B11)</f>
        <v>0</v>
      </c>
      <c r="C12" s="209"/>
    </row>
    <row r="13" spans="1:3" s="204" customFormat="1" ht="27" customHeight="1">
      <c r="A13" s="359"/>
      <c r="B13" s="359"/>
      <c r="C13" s="359"/>
    </row>
    <row r="14" s="204" customFormat="1" ht="15">
      <c r="A14" s="316" t="s">
        <v>239</v>
      </c>
    </row>
    <row r="15" spans="1:3" s="204" customFormat="1" ht="39.75" customHeight="1">
      <c r="A15" s="373" t="s">
        <v>311</v>
      </c>
      <c r="B15" s="373"/>
      <c r="C15" s="373"/>
    </row>
    <row r="16" spans="1:3" s="204" customFormat="1" ht="43.5" customHeight="1">
      <c r="A16" s="373" t="s">
        <v>308</v>
      </c>
      <c r="B16" s="373"/>
      <c r="C16" s="373"/>
    </row>
    <row r="17" spans="1:3" s="204" customFormat="1" ht="25.5" customHeight="1">
      <c r="A17" s="373" t="s">
        <v>276</v>
      </c>
      <c r="B17" s="373"/>
      <c r="C17" s="373"/>
    </row>
  </sheetData>
  <sheetProtection/>
  <mergeCells count="7">
    <mergeCell ref="A17:C17"/>
    <mergeCell ref="F6:J6"/>
    <mergeCell ref="F7:G7"/>
    <mergeCell ref="F8:G8"/>
    <mergeCell ref="H8:J8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4.00390625" style="0" customWidth="1"/>
    <col min="2" max="2" width="16.421875" style="0" customWidth="1"/>
    <col min="3" max="3" width="80.57421875" style="0" customWidth="1"/>
    <col min="4" max="4" width="12.57421875" style="0" customWidth="1"/>
    <col min="5" max="5" width="11.7109375" style="0" customWidth="1"/>
    <col min="8" max="8" width="14.00390625" style="0" customWidth="1"/>
  </cols>
  <sheetData>
    <row r="1" ht="20.25" customHeight="1" thickBot="1">
      <c r="A1" s="213" t="s">
        <v>306</v>
      </c>
    </row>
    <row r="2" spans="1:4" s="204" customFormat="1" ht="33.75" customHeight="1">
      <c r="A2" s="347" t="s">
        <v>263</v>
      </c>
      <c r="B2" s="348" t="s">
        <v>286</v>
      </c>
      <c r="C2" s="317"/>
      <c r="D2" s="317"/>
    </row>
    <row r="3" spans="1:3" s="204" customFormat="1" ht="51.75" customHeight="1" thickBot="1">
      <c r="A3" s="205">
        <f>+B12</f>
        <v>0</v>
      </c>
      <c r="B3" s="349">
        <f>+A3-B6</f>
        <v>0</v>
      </c>
      <c r="C3" s="371"/>
    </row>
    <row r="4" spans="1:5" s="204" customFormat="1" ht="12.75" customHeight="1">
      <c r="A4" s="367"/>
      <c r="B4" s="358"/>
      <c r="C4" s="358"/>
      <c r="D4" s="368"/>
      <c r="E4" s="368"/>
    </row>
    <row r="5" spans="1:3" s="204" customFormat="1" ht="15">
      <c r="A5" s="369" t="s">
        <v>0</v>
      </c>
      <c r="B5" s="369" t="s">
        <v>1</v>
      </c>
      <c r="C5" s="370" t="s">
        <v>238</v>
      </c>
    </row>
    <row r="6" spans="1:10" s="204" customFormat="1" ht="30.75" customHeight="1" thickBot="1">
      <c r="A6" s="360" t="s">
        <v>264</v>
      </c>
      <c r="B6" s="210"/>
      <c r="C6" s="206" t="s">
        <v>310</v>
      </c>
      <c r="F6" s="379" t="s">
        <v>305</v>
      </c>
      <c r="G6" s="379"/>
      <c r="H6" s="379"/>
      <c r="I6" s="379"/>
      <c r="J6" s="379"/>
    </row>
    <row r="7" spans="1:10" s="204" customFormat="1" ht="42.75" customHeight="1" thickBot="1">
      <c r="A7" s="360" t="s">
        <v>265</v>
      </c>
      <c r="B7" s="210"/>
      <c r="C7" s="206" t="s">
        <v>298</v>
      </c>
      <c r="F7" s="377" t="s">
        <v>302</v>
      </c>
      <c r="G7" s="378"/>
      <c r="H7" s="364">
        <f>+B12*20%</f>
        <v>0</v>
      </c>
      <c r="I7" s="365" t="s">
        <v>303</v>
      </c>
      <c r="J7" s="366" t="e">
        <f>+B6/B12</f>
        <v>#DIV/0!</v>
      </c>
    </row>
    <row r="8" spans="1:10" s="204" customFormat="1" ht="48" customHeight="1">
      <c r="A8" s="361" t="s">
        <v>2</v>
      </c>
      <c r="B8" s="211">
        <f>0.6*(B6+B7)</f>
        <v>0</v>
      </c>
      <c r="C8" s="207" t="s">
        <v>299</v>
      </c>
      <c r="F8" s="380" t="s">
        <v>304</v>
      </c>
      <c r="G8" s="381"/>
      <c r="H8" s="382" t="s">
        <v>312</v>
      </c>
      <c r="I8" s="382"/>
      <c r="J8" s="383"/>
    </row>
    <row r="9" spans="1:3" s="204" customFormat="1" ht="24">
      <c r="A9" s="362" t="s">
        <v>3</v>
      </c>
      <c r="B9" s="210"/>
      <c r="C9" s="206" t="s">
        <v>277</v>
      </c>
    </row>
    <row r="10" spans="1:3" s="204" customFormat="1" ht="60">
      <c r="A10" s="362" t="s">
        <v>4</v>
      </c>
      <c r="B10" s="210"/>
      <c r="C10" s="206" t="s">
        <v>300</v>
      </c>
    </row>
    <row r="11" spans="1:10" s="204" customFormat="1" ht="60.75" thickBot="1">
      <c r="A11" s="363" t="s">
        <v>5</v>
      </c>
      <c r="B11" s="323"/>
      <c r="C11" s="324" t="s">
        <v>301</v>
      </c>
      <c r="I11" s="317"/>
      <c r="J11" s="317"/>
    </row>
    <row r="12" spans="1:3" s="204" customFormat="1" ht="31.5" customHeight="1" thickTop="1">
      <c r="A12" s="372" t="s">
        <v>307</v>
      </c>
      <c r="B12" s="212">
        <f>SUM(B6:B11)</f>
        <v>0</v>
      </c>
      <c r="C12" s="209"/>
    </row>
    <row r="13" spans="1:3" s="204" customFormat="1" ht="27" customHeight="1">
      <c r="A13" s="359"/>
      <c r="B13" s="359"/>
      <c r="C13" s="359"/>
    </row>
    <row r="14" s="204" customFormat="1" ht="15">
      <c r="A14" s="316" t="s">
        <v>239</v>
      </c>
    </row>
    <row r="15" spans="1:3" s="204" customFormat="1" ht="43.5" customHeight="1">
      <c r="A15" s="373" t="s">
        <v>311</v>
      </c>
      <c r="B15" s="373"/>
      <c r="C15" s="373"/>
    </row>
    <row r="16" spans="1:3" s="204" customFormat="1" ht="43.5" customHeight="1">
      <c r="A16" s="373" t="s">
        <v>308</v>
      </c>
      <c r="B16" s="373"/>
      <c r="C16" s="373"/>
    </row>
    <row r="17" spans="1:3" s="204" customFormat="1" ht="25.5" customHeight="1">
      <c r="A17" s="373" t="s">
        <v>276</v>
      </c>
      <c r="B17" s="373"/>
      <c r="C17" s="373"/>
    </row>
  </sheetData>
  <sheetProtection/>
  <mergeCells count="7">
    <mergeCell ref="A17:C17"/>
    <mergeCell ref="F6:J6"/>
    <mergeCell ref="F7:G7"/>
    <mergeCell ref="F8:G8"/>
    <mergeCell ref="H8:J8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5.421875" style="0" customWidth="1"/>
    <col min="2" max="8" width="16.7109375" style="0" customWidth="1"/>
    <col min="9" max="9" width="21.7109375" style="0" customWidth="1"/>
    <col min="10" max="10" width="22.421875" style="0" customWidth="1"/>
  </cols>
  <sheetData>
    <row r="1" spans="1:6" ht="12.75" customHeight="1">
      <c r="A1" s="213"/>
      <c r="F1" s="333"/>
    </row>
    <row r="2" spans="1:6" ht="12.75" customHeight="1">
      <c r="A2" s="213" t="s">
        <v>309</v>
      </c>
      <c r="F2" s="333"/>
    </row>
    <row r="3" spans="1:6" ht="12.75" customHeight="1" thickBot="1">
      <c r="A3" s="213"/>
      <c r="F3" s="333"/>
    </row>
    <row r="4" spans="1:10" ht="30.75" customHeight="1" thickBot="1">
      <c r="A4" s="338" t="s">
        <v>279</v>
      </c>
      <c r="B4" s="335" t="s">
        <v>280</v>
      </c>
      <c r="C4" s="335" t="s">
        <v>281</v>
      </c>
      <c r="D4" s="336" t="s">
        <v>2</v>
      </c>
      <c r="E4" s="335" t="s">
        <v>3</v>
      </c>
      <c r="F4" s="336" t="s">
        <v>4</v>
      </c>
      <c r="G4" s="336" t="s">
        <v>5</v>
      </c>
      <c r="H4" s="337" t="s">
        <v>6</v>
      </c>
      <c r="I4" s="343" t="s">
        <v>285</v>
      </c>
      <c r="J4" s="343" t="s">
        <v>286</v>
      </c>
    </row>
    <row r="5" spans="1:10" ht="21.75" customHeight="1">
      <c r="A5" s="334" t="s">
        <v>282</v>
      </c>
      <c r="B5" s="339">
        <f>+' BGT per unità PI'!B6</f>
        <v>0</v>
      </c>
      <c r="C5" s="339">
        <f>+' BGT per unità PI'!B7</f>
        <v>0</v>
      </c>
      <c r="D5" s="342">
        <f>+(B5+C5)*0.6</f>
        <v>0</v>
      </c>
      <c r="E5" s="339">
        <f>+' BGT per unità PI'!B9</f>
        <v>0</v>
      </c>
      <c r="F5" s="339">
        <f>+' BGT per unità PI'!B10</f>
        <v>0</v>
      </c>
      <c r="G5" s="339">
        <f>+' BGT per unità PI'!B11</f>
        <v>0</v>
      </c>
      <c r="H5" s="339">
        <f>+(B11+C11+D11+E11+F11+G11)*0.03</f>
        <v>0</v>
      </c>
      <c r="I5" s="339">
        <f>SUM(B5:G5)</f>
        <v>0</v>
      </c>
      <c r="J5" s="339">
        <f>+I5-B5+H5</f>
        <v>0</v>
      </c>
    </row>
    <row r="6" spans="1:10" ht="21.75" customHeight="1">
      <c r="A6" s="332" t="s">
        <v>283</v>
      </c>
      <c r="B6" s="340">
        <f>+' BGT per unità locale n 1'!B6</f>
        <v>0</v>
      </c>
      <c r="C6" s="340">
        <f>+' BGT per unità locale n 1'!B7</f>
        <v>0</v>
      </c>
      <c r="D6" s="342">
        <f>+(B6+C6)*0.6</f>
        <v>0</v>
      </c>
      <c r="E6" s="340">
        <f>+' BGT per unità locale n 1'!B9</f>
        <v>0</v>
      </c>
      <c r="F6" s="340">
        <f>+' BGT per unità locale n 1'!B10</f>
        <v>0</v>
      </c>
      <c r="G6" s="340">
        <f>+' BGT per unità locale n 1'!B11</f>
        <v>0</v>
      </c>
      <c r="H6" s="341"/>
      <c r="I6" s="340">
        <f>SUM(B6:G6)</f>
        <v>0</v>
      </c>
      <c r="J6" s="340">
        <f>+I6-B6</f>
        <v>0</v>
      </c>
    </row>
    <row r="7" spans="1:10" ht="21.75" customHeight="1">
      <c r="A7" s="332" t="s">
        <v>284</v>
      </c>
      <c r="B7" s="340">
        <f>+' BGT per unità locale n 2'!B6</f>
        <v>0</v>
      </c>
      <c r="C7" s="340">
        <f>+' BGT per unità locale n 2'!B7</f>
        <v>0</v>
      </c>
      <c r="D7" s="342">
        <f>+(B7+C7)*0.6</f>
        <v>0</v>
      </c>
      <c r="E7" s="340">
        <f>+' BGT per unità locale n 2'!B9</f>
        <v>0</v>
      </c>
      <c r="F7" s="340">
        <f>+' BGT per unità locale n 2'!B10</f>
        <v>0</v>
      </c>
      <c r="G7" s="340">
        <f>+' BGT per unità locale n 2'!B11</f>
        <v>0</v>
      </c>
      <c r="H7" s="341"/>
      <c r="I7" s="340">
        <f>SUM(B7:G7)</f>
        <v>0</v>
      </c>
      <c r="J7" s="340">
        <f>+I7-B7</f>
        <v>0</v>
      </c>
    </row>
    <row r="8" spans="1:10" ht="21.75" customHeight="1">
      <c r="A8" s="345" t="s">
        <v>287</v>
      </c>
      <c r="B8" s="340">
        <f>+' BGT per unità locale n 3'!B6</f>
        <v>0</v>
      </c>
      <c r="C8" s="340">
        <f>+' BGT per unità locale n 3'!B7</f>
        <v>0</v>
      </c>
      <c r="D8" s="342">
        <f>+(B8+C8)*0.6</f>
        <v>0</v>
      </c>
      <c r="E8" s="340">
        <f>+' BGT per unità locale n 3'!B9</f>
        <v>0</v>
      </c>
      <c r="F8" s="340">
        <f>+' BGT per unità locale n 3'!B10</f>
        <v>0</v>
      </c>
      <c r="G8" s="340">
        <f>+' BGT per unità locale n 3'!B11</f>
        <v>0</v>
      </c>
      <c r="H8" s="341"/>
      <c r="I8" s="340">
        <f>SUM(B8:G8)</f>
        <v>0</v>
      </c>
      <c r="J8" s="340">
        <f>+I8-B8</f>
        <v>0</v>
      </c>
    </row>
    <row r="11" spans="1:10" ht="15">
      <c r="A11" s="332" t="s">
        <v>7</v>
      </c>
      <c r="B11" s="340">
        <f aca="true" t="shared" si="0" ref="B11:G11">SUM(B5:B8)</f>
        <v>0</v>
      </c>
      <c r="C11" s="340">
        <f t="shared" si="0"/>
        <v>0</v>
      </c>
      <c r="D11" s="340">
        <f t="shared" si="0"/>
        <v>0</v>
      </c>
      <c r="E11" s="340">
        <f t="shared" si="0"/>
        <v>0</v>
      </c>
      <c r="F11" s="340">
        <f t="shared" si="0"/>
        <v>0</v>
      </c>
      <c r="G11" s="340">
        <f t="shared" si="0"/>
        <v>0</v>
      </c>
      <c r="H11" s="341"/>
      <c r="I11" s="344">
        <f>SUM(I5:I8)+H5</f>
        <v>0</v>
      </c>
      <c r="J11" s="344">
        <f>SUM(J5:J8)</f>
        <v>0</v>
      </c>
    </row>
    <row r="13" ht="15">
      <c r="J13" s="346"/>
    </row>
    <row r="14" ht="15">
      <c r="J14" s="3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9"/>
  <sheetViews>
    <sheetView zoomScalePageLayoutView="0" workbookViewId="0" topLeftCell="A1">
      <selection activeCell="Y11" sqref="Y11"/>
    </sheetView>
  </sheetViews>
  <sheetFormatPr defaultColWidth="9.140625" defaultRowHeight="15"/>
  <cols>
    <col min="1" max="1" width="23.421875" style="214" bestFit="1" customWidth="1"/>
    <col min="2" max="2" width="0" style="215" hidden="1" customWidth="1"/>
    <col min="3" max="3" width="10.57421875" style="215" hidden="1" customWidth="1"/>
    <col min="4" max="4" width="0" style="215" hidden="1" customWidth="1"/>
    <col min="5" max="5" width="10.7109375" style="215" hidden="1" customWidth="1"/>
    <col min="6" max="6" width="11.140625" style="215" hidden="1" customWidth="1"/>
    <col min="7" max="7" width="10.8515625" style="215" hidden="1" customWidth="1"/>
    <col min="8" max="8" width="10.140625" style="216" bestFit="1" customWidth="1"/>
    <col min="9" max="9" width="8.140625" style="217" customWidth="1"/>
    <col min="10" max="10" width="15.421875" style="214" customWidth="1"/>
    <col min="11" max="11" width="16.140625" style="216" customWidth="1"/>
    <col min="12" max="12" width="4.140625" style="218" customWidth="1"/>
    <col min="13" max="13" width="23.8515625" style="218" customWidth="1"/>
    <col min="14" max="14" width="9.140625" style="218" customWidth="1"/>
    <col min="15" max="15" width="11.140625" style="218" customWidth="1"/>
    <col min="16" max="16" width="15.8515625" style="218" customWidth="1"/>
    <col min="17" max="17" width="20.140625" style="218" customWidth="1"/>
    <col min="18" max="33" width="9.140625" style="218" customWidth="1"/>
    <col min="34" max="16384" width="9.140625" style="215" customWidth="1"/>
  </cols>
  <sheetData>
    <row r="1" ht="13.5" thickBot="1"/>
    <row r="2" spans="1:33" s="220" customFormat="1" ht="17.25" customHeight="1" thickBot="1">
      <c r="A2" s="387" t="s">
        <v>294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s="220" customFormat="1" ht="8.2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3"/>
      <c r="N3" s="223"/>
      <c r="O3" s="223"/>
      <c r="P3" s="223"/>
      <c r="Q3" s="224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</row>
    <row r="4" spans="1:33" s="220" customFormat="1" ht="36" customHeight="1">
      <c r="A4" s="225"/>
      <c r="B4" s="226"/>
      <c r="C4" s="226"/>
      <c r="D4" s="227" t="s">
        <v>240</v>
      </c>
      <c r="E4" s="228"/>
      <c r="F4" s="228"/>
      <c r="G4" s="229"/>
      <c r="H4" s="222"/>
      <c r="I4" s="222"/>
      <c r="J4" s="227" t="s">
        <v>241</v>
      </c>
      <c r="K4" s="230" t="s">
        <v>242</v>
      </c>
      <c r="L4" s="231"/>
      <c r="M4" s="232" t="s">
        <v>243</v>
      </c>
      <c r="N4" s="226"/>
      <c r="O4" s="233"/>
      <c r="P4" s="226"/>
      <c r="Q4" s="234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</row>
    <row r="5" spans="1:33" s="220" customFormat="1" ht="24.75" customHeight="1" thickBo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7"/>
      <c r="L5" s="238"/>
      <c r="M5" s="238"/>
      <c r="N5" s="238"/>
      <c r="O5" s="238"/>
      <c r="P5" s="238"/>
      <c r="Q5" s="23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</row>
    <row r="6" spans="1:17" s="282" customFormat="1" ht="27" customHeight="1" thickBot="1">
      <c r="A6" s="274"/>
      <c r="B6" s="275"/>
      <c r="C6" s="275"/>
      <c r="D6" s="275"/>
      <c r="E6" s="275"/>
      <c r="F6" s="275"/>
      <c r="G6" s="275"/>
      <c r="H6" s="276"/>
      <c r="I6" s="277"/>
      <c r="J6" s="278"/>
      <c r="K6" s="279"/>
      <c r="L6" s="275"/>
      <c r="M6" s="280"/>
      <c r="N6" s="280"/>
      <c r="O6" s="275"/>
      <c r="P6" s="275"/>
      <c r="Q6" s="281"/>
    </row>
    <row r="7" spans="1:17" s="282" customFormat="1" ht="27" customHeight="1">
      <c r="A7" s="390" t="s">
        <v>256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2"/>
    </row>
    <row r="8" spans="1:17" s="218" customFormat="1" ht="27" customHeight="1">
      <c r="A8" s="283" t="s">
        <v>257</v>
      </c>
      <c r="B8" s="244"/>
      <c r="C8" s="244"/>
      <c r="D8" s="244"/>
      <c r="E8" s="244"/>
      <c r="F8" s="244"/>
      <c r="G8" s="244"/>
      <c r="H8" s="284"/>
      <c r="I8" s="285"/>
      <c r="J8" s="286"/>
      <c r="K8" s="287"/>
      <c r="L8" s="244"/>
      <c r="M8" s="288" t="s">
        <v>258</v>
      </c>
      <c r="N8" s="288"/>
      <c r="O8" s="244"/>
      <c r="P8" s="244"/>
      <c r="Q8" s="289"/>
    </row>
    <row r="9" spans="1:17" ht="77.25" customHeight="1">
      <c r="A9" s="240" t="s">
        <v>259</v>
      </c>
      <c r="B9" s="290"/>
      <c r="C9" s="290"/>
      <c r="D9" s="290"/>
      <c r="E9" s="291"/>
      <c r="F9" s="290"/>
      <c r="G9" s="290"/>
      <c r="H9" s="292" t="s">
        <v>244</v>
      </c>
      <c r="I9" s="293" t="s">
        <v>245</v>
      </c>
      <c r="J9" s="294"/>
      <c r="K9" s="295"/>
      <c r="L9" s="296"/>
      <c r="M9" s="245" t="s">
        <v>260</v>
      </c>
      <c r="N9" s="292" t="s">
        <v>244</v>
      </c>
      <c r="O9" s="293" t="s">
        <v>245</v>
      </c>
      <c r="P9" s="294"/>
      <c r="Q9" s="297"/>
    </row>
    <row r="10" spans="1:17" ht="28.5" customHeight="1">
      <c r="A10" s="246" t="s">
        <v>246</v>
      </c>
      <c r="B10" s="247">
        <v>16138</v>
      </c>
      <c r="C10" s="248"/>
      <c r="D10" s="247">
        <v>16138</v>
      </c>
      <c r="E10" s="249"/>
      <c r="F10" s="247">
        <v>16138</v>
      </c>
      <c r="G10" s="248"/>
      <c r="H10" s="250">
        <v>19367</v>
      </c>
      <c r="I10" s="253"/>
      <c r="J10" s="251"/>
      <c r="K10" s="251"/>
      <c r="L10" s="244"/>
      <c r="M10" s="243" t="s">
        <v>246</v>
      </c>
      <c r="N10" s="252">
        <v>24000</v>
      </c>
      <c r="O10" s="253"/>
      <c r="P10" s="251"/>
      <c r="Q10" s="298"/>
    </row>
    <row r="11" spans="1:17" ht="25.5">
      <c r="A11" s="246" t="s">
        <v>247</v>
      </c>
      <c r="B11" s="247">
        <f>B10/100*C11</f>
        <v>1915.5805999999998</v>
      </c>
      <c r="C11" s="248">
        <v>11.87</v>
      </c>
      <c r="D11" s="247">
        <f>D10/100*E11</f>
        <v>1936.56</v>
      </c>
      <c r="E11" s="249">
        <v>12</v>
      </c>
      <c r="F11" s="254">
        <f>F10/100*G11</f>
        <v>1958.071954</v>
      </c>
      <c r="G11" s="248">
        <v>12.1333</v>
      </c>
      <c r="H11" s="250">
        <f>H10/100*I11</f>
        <v>4419.549399999999</v>
      </c>
      <c r="I11" s="255">
        <f>I14*2/3</f>
        <v>22.819999999999997</v>
      </c>
      <c r="J11" s="256"/>
      <c r="K11" s="251"/>
      <c r="L11" s="244"/>
      <c r="M11" s="243" t="s">
        <v>247</v>
      </c>
      <c r="N11" s="250">
        <f>N10/100*O11</f>
        <v>3840</v>
      </c>
      <c r="O11" s="255">
        <f>O14*2/3</f>
        <v>16</v>
      </c>
      <c r="P11" s="256"/>
      <c r="Q11" s="298"/>
    </row>
    <row r="12" spans="1:17" ht="25.5">
      <c r="A12" s="257" t="s">
        <v>249</v>
      </c>
      <c r="B12" s="247"/>
      <c r="C12" s="248"/>
      <c r="D12" s="247"/>
      <c r="E12" s="249"/>
      <c r="F12" s="254"/>
      <c r="G12" s="248"/>
      <c r="H12" s="258">
        <f>H10/100*I12</f>
        <v>2209.7746999999995</v>
      </c>
      <c r="I12" s="259">
        <f>I14*1/3</f>
        <v>11.409999999999998</v>
      </c>
      <c r="J12" s="256"/>
      <c r="K12" s="251"/>
      <c r="L12" s="244"/>
      <c r="M12" s="261" t="s">
        <v>249</v>
      </c>
      <c r="N12" s="258">
        <f>N10/100*O12</f>
        <v>1920</v>
      </c>
      <c r="O12" s="259">
        <f>O14*1/3</f>
        <v>8</v>
      </c>
      <c r="P12" s="256"/>
      <c r="Q12" s="298"/>
    </row>
    <row r="13" spans="1:33" s="268" customFormat="1" ht="25.5">
      <c r="A13" s="246" t="s">
        <v>250</v>
      </c>
      <c r="B13" s="262">
        <f>SUM(B10:B11)</f>
        <v>18053.5806</v>
      </c>
      <c r="C13" s="263"/>
      <c r="D13" s="262">
        <f>D10+D11</f>
        <v>18074.56</v>
      </c>
      <c r="E13" s="263"/>
      <c r="F13" s="264">
        <f>SUM(F10:F11)</f>
        <v>18096.071954</v>
      </c>
      <c r="G13" s="263"/>
      <c r="H13" s="265">
        <f>SUM(H10:H11)</f>
        <v>23786.5494</v>
      </c>
      <c r="I13" s="266"/>
      <c r="J13" s="251"/>
      <c r="K13" s="251"/>
      <c r="L13" s="267"/>
      <c r="M13" s="243" t="s">
        <v>250</v>
      </c>
      <c r="N13" s="265">
        <f>SUM(N10:N11)</f>
        <v>27840</v>
      </c>
      <c r="O13" s="266"/>
      <c r="P13" s="251"/>
      <c r="Q13" s="298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</row>
    <row r="14" spans="1:23" ht="25.5">
      <c r="A14" s="246" t="s">
        <v>253</v>
      </c>
      <c r="B14" s="263"/>
      <c r="C14" s="263">
        <v>17.8</v>
      </c>
      <c r="D14" s="263"/>
      <c r="E14" s="263">
        <v>18</v>
      </c>
      <c r="F14" s="263"/>
      <c r="G14" s="263">
        <v>18.2</v>
      </c>
      <c r="H14" s="270" t="s">
        <v>248</v>
      </c>
      <c r="I14" s="271">
        <v>34.23</v>
      </c>
      <c r="J14" s="243"/>
      <c r="K14" s="251"/>
      <c r="L14" s="244"/>
      <c r="M14" s="243" t="s">
        <v>254</v>
      </c>
      <c r="N14" s="272" t="s">
        <v>248</v>
      </c>
      <c r="O14" s="252">
        <v>24</v>
      </c>
      <c r="P14" s="242"/>
      <c r="Q14" s="298"/>
      <c r="R14" s="269"/>
      <c r="S14" s="269"/>
      <c r="T14" s="269"/>
      <c r="U14" s="269"/>
      <c r="V14" s="269"/>
      <c r="W14" s="269"/>
    </row>
    <row r="15" spans="1:23" ht="38.25">
      <c r="A15" s="257" t="s">
        <v>251</v>
      </c>
      <c r="B15" s="263"/>
      <c r="C15" s="263"/>
      <c r="D15" s="263"/>
      <c r="E15" s="263"/>
      <c r="F15" s="263"/>
      <c r="G15" s="263"/>
      <c r="H15" s="260">
        <f>H10-H12</f>
        <v>17157.225300000002</v>
      </c>
      <c r="I15" s="299"/>
      <c r="J15" s="261" t="s">
        <v>252</v>
      </c>
      <c r="K15" s="260">
        <f>H15/12</f>
        <v>1429.7687750000002</v>
      </c>
      <c r="L15" s="244"/>
      <c r="M15" s="261" t="s">
        <v>251</v>
      </c>
      <c r="N15" s="300">
        <f>N10-N12</f>
        <v>22080</v>
      </c>
      <c r="O15" s="301"/>
      <c r="P15" s="261" t="s">
        <v>252</v>
      </c>
      <c r="Q15" s="302">
        <f>N15/12</f>
        <v>1840</v>
      </c>
      <c r="R15" s="269"/>
      <c r="S15" s="269"/>
      <c r="T15" s="269"/>
      <c r="U15" s="269"/>
      <c r="V15" s="269"/>
      <c r="W15" s="269"/>
    </row>
    <row r="16" spans="1:33" s="273" customFormat="1" ht="27" customHeight="1">
      <c r="A16" s="303" t="s">
        <v>255</v>
      </c>
      <c r="B16" s="241"/>
      <c r="C16" s="241"/>
      <c r="D16" s="241"/>
      <c r="E16" s="241"/>
      <c r="F16" s="241"/>
      <c r="G16" s="241"/>
      <c r="H16" s="250"/>
      <c r="I16" s="241"/>
      <c r="J16" s="304"/>
      <c r="K16" s="304">
        <f>H13</f>
        <v>23786.5494</v>
      </c>
      <c r="L16" s="244"/>
      <c r="M16" s="305" t="s">
        <v>255</v>
      </c>
      <c r="N16" s="305"/>
      <c r="O16" s="241"/>
      <c r="P16" s="306"/>
      <c r="Q16" s="307">
        <f>N13</f>
        <v>27840</v>
      </c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</row>
    <row r="17" spans="1:17" s="218" customFormat="1" ht="27" customHeight="1">
      <c r="A17" s="283"/>
      <c r="B17" s="244"/>
      <c r="C17" s="244"/>
      <c r="D17" s="244"/>
      <c r="E17" s="244"/>
      <c r="F17" s="244"/>
      <c r="G17" s="244"/>
      <c r="H17" s="284"/>
      <c r="I17" s="285"/>
      <c r="J17" s="286"/>
      <c r="K17" s="287"/>
      <c r="L17" s="244"/>
      <c r="M17" s="288"/>
      <c r="N17" s="288"/>
      <c r="O17" s="244"/>
      <c r="P17" s="244"/>
      <c r="Q17" s="289"/>
    </row>
    <row r="18" spans="1:33" s="273" customFormat="1" ht="15">
      <c r="A18" s="396" t="s">
        <v>261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5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</row>
    <row r="19" spans="1:33" s="308" customFormat="1" ht="17.25" customHeight="1">
      <c r="A19" s="393" t="s">
        <v>262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5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</row>
    <row r="20" spans="1:33" s="273" customFormat="1" ht="12.75" customHeight="1">
      <c r="A20" s="396" t="s">
        <v>289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5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</row>
    <row r="21" spans="1:33" s="268" customFormat="1" ht="12.75" customHeight="1">
      <c r="A21" s="396" t="s">
        <v>290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5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</row>
    <row r="22" spans="1:17" ht="26.25" customHeight="1">
      <c r="A22" s="384" t="s">
        <v>291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6"/>
    </row>
    <row r="23" spans="1:17" ht="15.75" thickBot="1">
      <c r="A23" s="356" t="s">
        <v>292</v>
      </c>
      <c r="B23" s="350"/>
      <c r="C23" s="350"/>
      <c r="D23" s="350"/>
      <c r="E23" s="350"/>
      <c r="F23" s="350"/>
      <c r="G23" s="350"/>
      <c r="H23" s="357"/>
      <c r="I23" s="352"/>
      <c r="J23" s="353"/>
      <c r="K23" s="351"/>
      <c r="L23" s="354"/>
      <c r="M23" s="354"/>
      <c r="N23" s="354"/>
      <c r="O23" s="354"/>
      <c r="P23" s="354"/>
      <c r="Q23" s="355"/>
    </row>
    <row r="24" spans="1:11" ht="12.75">
      <c r="A24" s="309"/>
      <c r="B24" s="268"/>
      <c r="C24" s="268"/>
      <c r="D24" s="268"/>
      <c r="E24" s="268"/>
      <c r="F24" s="268"/>
      <c r="G24" s="268"/>
      <c r="H24" s="310"/>
      <c r="I24" s="311"/>
      <c r="J24" s="309"/>
      <c r="K24" s="310"/>
    </row>
    <row r="29" spans="1:33" s="268" customFormat="1" ht="12.75">
      <c r="A29" s="30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</row>
  </sheetData>
  <sheetProtection/>
  <mergeCells count="7">
    <mergeCell ref="A22:Q22"/>
    <mergeCell ref="A2:Q2"/>
    <mergeCell ref="A7:Q7"/>
    <mergeCell ref="A19:Q19"/>
    <mergeCell ref="A20:Q20"/>
    <mergeCell ref="A21:Q21"/>
    <mergeCell ref="A18:Q18"/>
  </mergeCells>
  <printOptions horizontalCentered="1" verticalCentered="1"/>
  <pageMargins left="0.7874015748031497" right="0.7874015748031497" top="1.99" bottom="0.984251968503937" header="1.17" footer="0.5118110236220472"/>
  <pageSetup fitToHeight="1" fitToWidth="1" horizontalDpi="600" verticalDpi="600" orientation="landscape" paperSize="9" scale="40" r:id="rId1"/>
  <headerFooter alignWithMargins="0">
    <oddHeader>&amp;LCOSTO REALE ASSEGNO DI RICERCA 2004-2008</oddHeader>
    <oddFooter>&amp;CIMPORTI IN EURO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57421875" style="195" customWidth="1"/>
    <col min="2" max="2" width="24.28125" style="195" customWidth="1"/>
    <col min="3" max="3" width="13.57421875" style="188" customWidth="1"/>
    <col min="4" max="4" width="21.140625" style="188" customWidth="1"/>
    <col min="5" max="5" width="18.8515625" style="188" customWidth="1"/>
    <col min="6" max="6" width="28.421875" style="188" customWidth="1"/>
    <col min="7" max="7" width="28.00390625" style="188" customWidth="1"/>
    <col min="8" max="8" width="13.28125" style="188" hidden="1" customWidth="1"/>
    <col min="9" max="9" width="8.8515625" style="193" customWidth="1"/>
    <col min="10" max="10" width="16.7109375" style="194" customWidth="1"/>
    <col min="11" max="11" width="8.8515625" style="195" customWidth="1"/>
    <col min="12" max="12" width="8.8515625" style="193" customWidth="1"/>
    <col min="13" max="16384" width="8.8515625" style="188" customWidth="1"/>
  </cols>
  <sheetData>
    <row r="1" spans="1:12" s="177" customFormat="1" ht="21" customHeight="1">
      <c r="A1" s="398" t="s">
        <v>267</v>
      </c>
      <c r="B1" s="398"/>
      <c r="C1" s="399"/>
      <c r="D1" s="399"/>
      <c r="E1" s="399"/>
      <c r="F1" s="399"/>
      <c r="G1" s="399"/>
      <c r="H1" s="399"/>
      <c r="I1" s="399"/>
      <c r="J1" s="189"/>
      <c r="K1" s="190"/>
      <c r="L1" s="187"/>
    </row>
    <row r="2" spans="1:7" ht="22.5" customHeight="1" thickBot="1">
      <c r="A2" s="191"/>
      <c r="B2" s="191"/>
      <c r="C2" s="192"/>
      <c r="D2" s="192"/>
      <c r="E2" s="192"/>
      <c r="F2" s="192"/>
      <c r="G2" s="192"/>
    </row>
    <row r="3" spans="3:7" ht="27" customHeight="1" thickTop="1">
      <c r="C3" s="177"/>
      <c r="D3" s="177"/>
      <c r="E3" s="177"/>
      <c r="F3" s="177"/>
      <c r="G3" s="177"/>
    </row>
    <row r="4" spans="1:7" ht="51.75" thickBot="1">
      <c r="A4" s="196" t="s">
        <v>268</v>
      </c>
      <c r="B4" s="197" t="s">
        <v>232</v>
      </c>
      <c r="C4" s="198" t="s">
        <v>233</v>
      </c>
      <c r="D4" s="198" t="s">
        <v>234</v>
      </c>
      <c r="E4" s="198" t="s">
        <v>235</v>
      </c>
      <c r="F4" s="198" t="s">
        <v>236</v>
      </c>
      <c r="G4" s="198" t="s">
        <v>237</v>
      </c>
    </row>
    <row r="5" spans="1:7" ht="13.5" thickTop="1">
      <c r="A5" s="199"/>
      <c r="B5" s="200"/>
      <c r="C5" s="200"/>
      <c r="D5" s="200"/>
      <c r="E5" s="200"/>
      <c r="F5" s="200"/>
      <c r="G5" s="200"/>
    </row>
    <row r="6" spans="1:7" ht="39" thickBot="1">
      <c r="A6" s="201" t="s">
        <v>269</v>
      </c>
      <c r="B6" s="202">
        <f>C6+D6+E6+F6+G6</f>
        <v>61036.939999999995</v>
      </c>
      <c r="C6" s="203">
        <v>40915.41</v>
      </c>
      <c r="D6" s="203">
        <v>9064.13</v>
      </c>
      <c r="E6" s="203">
        <v>6819.24</v>
      </c>
      <c r="F6" s="203">
        <v>1510.46</v>
      </c>
      <c r="G6" s="203">
        <v>2727.7</v>
      </c>
    </row>
    <row r="7" ht="13.5" thickTop="1"/>
    <row r="8" ht="6" customHeight="1"/>
    <row r="9" ht="12.75" hidden="1"/>
    <row r="10" spans="1:12" ht="15">
      <c r="A10"/>
      <c r="B10"/>
      <c r="C10"/>
      <c r="D10"/>
      <c r="E10"/>
      <c r="F10"/>
      <c r="G10"/>
      <c r="H10"/>
      <c r="I10"/>
      <c r="J10"/>
      <c r="K10"/>
      <c r="L10"/>
    </row>
    <row r="11" spans="1:7" ht="54.75" customHeight="1" thickBot="1">
      <c r="A11"/>
      <c r="B11" s="197" t="s">
        <v>270</v>
      </c>
      <c r="C11" s="198" t="s">
        <v>233</v>
      </c>
      <c r="D11" s="198" t="s">
        <v>234</v>
      </c>
      <c r="E11" s="198" t="s">
        <v>235</v>
      </c>
      <c r="F11" s="198" t="s">
        <v>236</v>
      </c>
      <c r="G11" s="198" t="s">
        <v>271</v>
      </c>
    </row>
    <row r="12" spans="1:7" ht="13.5" thickTop="1">
      <c r="A12" s="199"/>
      <c r="B12" s="200"/>
      <c r="C12" s="200"/>
      <c r="D12" s="200"/>
      <c r="E12" s="200"/>
      <c r="F12" s="200"/>
      <c r="G12" s="200"/>
    </row>
    <row r="13" spans="1:7" ht="39" thickBot="1">
      <c r="A13" s="201" t="s">
        <v>272</v>
      </c>
      <c r="B13" s="202">
        <f>C13+D13+E13+F13+G13</f>
        <v>79060.63000000002</v>
      </c>
      <c r="C13" s="203">
        <v>54553.88</v>
      </c>
      <c r="D13" s="203">
        <v>12085.5</v>
      </c>
      <c r="E13" s="203">
        <v>6819.24</v>
      </c>
      <c r="F13" s="203">
        <v>1510.46</v>
      </c>
      <c r="G13" s="203">
        <v>4091.55</v>
      </c>
    </row>
    <row r="14" ht="13.5" thickTop="1"/>
  </sheetData>
  <sheetProtection/>
  <mergeCells count="1">
    <mergeCell ref="A1:I1"/>
  </mergeCells>
  <printOptions/>
  <pageMargins left="0.35" right="0.22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H8" sqref="H8"/>
    </sheetView>
  </sheetViews>
  <sheetFormatPr defaultColWidth="8.8515625" defaultRowHeight="15"/>
  <cols>
    <col min="1" max="1" width="56.28125" style="134" customWidth="1"/>
    <col min="2" max="2" width="18.57421875" style="134" customWidth="1"/>
    <col min="3" max="5" width="11.57421875" style="319" customWidth="1"/>
    <col min="6" max="6" width="10.7109375" style="319" customWidth="1"/>
    <col min="7" max="7" width="10.140625" style="319" customWidth="1"/>
    <col min="8" max="8" width="12.7109375" style="319" customWidth="1"/>
    <col min="9" max="9" width="12.140625" style="319" customWidth="1"/>
    <col min="10" max="10" width="10.7109375" style="319" customWidth="1"/>
    <col min="11" max="11" width="15.421875" style="319" customWidth="1"/>
    <col min="12" max="12" width="11.57421875" style="319" bestFit="1" customWidth="1"/>
    <col min="13" max="13" width="13.140625" style="319" customWidth="1"/>
    <col min="14" max="14" width="10.140625" style="319" customWidth="1"/>
    <col min="15" max="15" width="10.140625" style="134" bestFit="1" customWidth="1"/>
    <col min="16" max="16" width="16.57421875" style="134" customWidth="1"/>
    <col min="17" max="16384" width="8.8515625" style="134" customWidth="1"/>
  </cols>
  <sheetData>
    <row r="1" spans="1:14" s="148" customFormat="1" ht="24" customHeight="1">
      <c r="A1" s="146" t="s">
        <v>273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48" customFormat="1" ht="27" customHeight="1" thickBot="1">
      <c r="A2" s="149"/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23" s="158" customFormat="1" ht="39.75" thickBot="1" thickTop="1">
      <c r="A3" s="151" t="s">
        <v>16</v>
      </c>
      <c r="B3" s="152" t="s">
        <v>170</v>
      </c>
      <c r="C3" s="153" t="s">
        <v>18</v>
      </c>
      <c r="D3" s="153" t="s">
        <v>20</v>
      </c>
      <c r="E3" s="153" t="s">
        <v>213</v>
      </c>
      <c r="F3" s="154" t="s">
        <v>22</v>
      </c>
      <c r="G3" s="154" t="s">
        <v>214</v>
      </c>
      <c r="H3" s="155" t="s">
        <v>215</v>
      </c>
      <c r="I3" s="153" t="s">
        <v>216</v>
      </c>
      <c r="J3" s="153" t="s">
        <v>217</v>
      </c>
      <c r="K3" s="153" t="s">
        <v>218</v>
      </c>
      <c r="L3" s="156" t="s">
        <v>219</v>
      </c>
      <c r="M3" s="155" t="s">
        <v>220</v>
      </c>
      <c r="N3" s="155" t="s">
        <v>25</v>
      </c>
      <c r="O3" s="157"/>
      <c r="P3" s="157"/>
      <c r="Q3" s="157"/>
      <c r="R3" s="157"/>
      <c r="S3" s="157"/>
      <c r="T3" s="157"/>
      <c r="U3" s="157"/>
      <c r="V3" s="157"/>
      <c r="W3" s="157"/>
    </row>
    <row r="4" spans="1:23" s="158" customFormat="1" ht="16.5" customHeight="1" thickTop="1">
      <c r="A4" s="159"/>
      <c r="B4" s="160" t="s">
        <v>221</v>
      </c>
      <c r="C4" s="161"/>
      <c r="D4" s="161"/>
      <c r="E4" s="161"/>
      <c r="F4" s="161"/>
      <c r="G4" s="161"/>
      <c r="H4" s="161" t="s">
        <v>174</v>
      </c>
      <c r="I4" s="161" t="s">
        <v>2</v>
      </c>
      <c r="J4" s="161" t="s">
        <v>3</v>
      </c>
      <c r="K4" s="161" t="s">
        <v>4</v>
      </c>
      <c r="L4" s="162" t="s">
        <v>5</v>
      </c>
      <c r="M4" s="162" t="s">
        <v>222</v>
      </c>
      <c r="N4" s="162" t="s">
        <v>223</v>
      </c>
      <c r="O4" s="157"/>
      <c r="P4" s="157"/>
      <c r="Q4" s="157"/>
      <c r="R4" s="157"/>
      <c r="S4" s="157"/>
      <c r="T4" s="157"/>
      <c r="U4" s="157"/>
      <c r="V4" s="157"/>
      <c r="W4" s="157"/>
    </row>
    <row r="5" spans="1:23" s="158" customFormat="1" ht="33" customHeight="1">
      <c r="A5" s="163" t="s">
        <v>224</v>
      </c>
      <c r="B5" s="164">
        <f>H5+M5+N5</f>
        <v>35807.552779000005</v>
      </c>
      <c r="C5" s="165">
        <f>1149.38*12</f>
        <v>13792.560000000001</v>
      </c>
      <c r="D5" s="165">
        <f>798.149*12</f>
        <v>9577.788</v>
      </c>
      <c r="E5" s="318">
        <v>0</v>
      </c>
      <c r="F5" s="165">
        <f>C5/12</f>
        <v>1149.38</v>
      </c>
      <c r="G5" s="165">
        <f>D5/12</f>
        <v>798.149</v>
      </c>
      <c r="H5" s="167">
        <f>C5+D5+E5+F5+G5</f>
        <v>25317.877000000004</v>
      </c>
      <c r="I5" s="167">
        <f>H5/100*24.2</f>
        <v>6126.9262340000005</v>
      </c>
      <c r="J5" s="167">
        <v>600.8</v>
      </c>
      <c r="K5" s="167">
        <v>407.62</v>
      </c>
      <c r="L5" s="167">
        <v>1202.31</v>
      </c>
      <c r="M5" s="167">
        <f>I5+J5+K5+L5</f>
        <v>8337.656234</v>
      </c>
      <c r="N5" s="167">
        <f>H5/100*8.5</f>
        <v>2152.0195450000006</v>
      </c>
      <c r="O5" s="168"/>
      <c r="P5" s="168"/>
      <c r="Q5" s="157"/>
      <c r="R5" s="157"/>
      <c r="S5" s="157"/>
      <c r="T5" s="157"/>
      <c r="U5" s="157"/>
      <c r="V5" s="157"/>
      <c r="W5" s="157"/>
    </row>
    <row r="6" spans="1:23" s="178" customFormat="1" ht="25.5" customHeight="1" thickBot="1">
      <c r="A6" s="169" t="s">
        <v>225</v>
      </c>
      <c r="B6" s="170">
        <f>H6+M6+N6</f>
        <v>48391.98370075999</v>
      </c>
      <c r="C6" s="171">
        <f>1567.331*12</f>
        <v>18807.971999999998</v>
      </c>
      <c r="D6" s="172">
        <f>819.579*12</f>
        <v>9834.948</v>
      </c>
      <c r="E6" s="172">
        <f>322.351*12</f>
        <v>3868.212</v>
      </c>
      <c r="F6" s="171">
        <f>C6/12</f>
        <v>1567.331</v>
      </c>
      <c r="G6" s="171">
        <f>D6/12</f>
        <v>819.5790000000001</v>
      </c>
      <c r="H6" s="173">
        <f>C6+D6+E6+F6+G6</f>
        <v>34898.041999999994</v>
      </c>
      <c r="I6" s="171">
        <f>H6/100*24.2</f>
        <v>8445.326163999998</v>
      </c>
      <c r="J6" s="174">
        <v>0</v>
      </c>
      <c r="K6" s="171">
        <f>H6/100*1.61</f>
        <v>561.8584761999999</v>
      </c>
      <c r="L6" s="175">
        <f>(C6+F6)*80%*7.1%+(D6+G6)*48%*7.1%</f>
        <v>1520.4234905599997</v>
      </c>
      <c r="M6" s="175">
        <f>I6+J6+K6+L6</f>
        <v>10527.608130759996</v>
      </c>
      <c r="N6" s="176">
        <f>H6/100*8.5</f>
        <v>2966.3335699999993</v>
      </c>
      <c r="O6" s="177"/>
      <c r="P6" s="168"/>
      <c r="Q6" s="177"/>
      <c r="R6" s="177"/>
      <c r="S6" s="177"/>
      <c r="T6" s="177"/>
      <c r="U6" s="177"/>
      <c r="V6" s="177"/>
      <c r="W6" s="177"/>
    </row>
    <row r="7" spans="3:14" ht="16.5" customHeight="1" thickTop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81" customFormat="1" ht="34.5" customHeight="1">
      <c r="A8" s="180" t="s">
        <v>226</v>
      </c>
      <c r="B8" s="164">
        <f>H8+M8+N8</f>
        <v>50256.998824999995</v>
      </c>
      <c r="C8" s="165">
        <v>32213.58</v>
      </c>
      <c r="D8" s="166">
        <v>0</v>
      </c>
      <c r="E8" s="166">
        <v>0</v>
      </c>
      <c r="F8" s="165">
        <f>C8/12</f>
        <v>2684.465</v>
      </c>
      <c r="G8" s="166">
        <v>0</v>
      </c>
      <c r="H8" s="167">
        <f>C8+F8</f>
        <v>34898.045</v>
      </c>
      <c r="I8" s="167">
        <v>8445.33</v>
      </c>
      <c r="J8" s="167">
        <v>1403.22</v>
      </c>
      <c r="K8" s="167">
        <v>561.86</v>
      </c>
      <c r="L8" s="167">
        <v>1982.21</v>
      </c>
      <c r="M8" s="167">
        <f>I8+J8+K8+L8</f>
        <v>12392.619999999999</v>
      </c>
      <c r="N8" s="167">
        <f>H8/100*8.5</f>
        <v>2966.3338249999997</v>
      </c>
    </row>
    <row r="9" spans="1:14" ht="34.5" customHeight="1">
      <c r="A9" s="180" t="s">
        <v>227</v>
      </c>
      <c r="B9" s="164">
        <f>H9+M9+N9</f>
        <v>51764.72499999999</v>
      </c>
      <c r="C9" s="165">
        <v>33180</v>
      </c>
      <c r="D9" s="166">
        <v>0</v>
      </c>
      <c r="E9" s="166">
        <v>0</v>
      </c>
      <c r="F9" s="165">
        <f>C9/12</f>
        <v>2765</v>
      </c>
      <c r="G9" s="166">
        <v>0</v>
      </c>
      <c r="H9" s="167">
        <f>C9+F9</f>
        <v>35945</v>
      </c>
      <c r="I9" s="165">
        <f>H9/100*24.2</f>
        <v>8698.689999999999</v>
      </c>
      <c r="J9" s="167">
        <v>1445.32</v>
      </c>
      <c r="K9" s="165">
        <v>578.71</v>
      </c>
      <c r="L9" s="165">
        <v>2041.68</v>
      </c>
      <c r="M9" s="165">
        <f>I9+J9+K9+L9</f>
        <v>12764.399999999998</v>
      </c>
      <c r="N9" s="167">
        <f>H9/100*8.5</f>
        <v>3055.325</v>
      </c>
    </row>
    <row r="10" spans="1:14" ht="34.5" customHeight="1">
      <c r="A10" s="180" t="s">
        <v>228</v>
      </c>
      <c r="B10" s="164">
        <f>H10+M10+N10</f>
        <v>60308.416984166666</v>
      </c>
      <c r="C10" s="165">
        <v>38656.31</v>
      </c>
      <c r="D10" s="166">
        <v>0</v>
      </c>
      <c r="E10" s="166">
        <v>0</v>
      </c>
      <c r="F10" s="165">
        <f>C10/12</f>
        <v>3221.3591666666666</v>
      </c>
      <c r="G10" s="166">
        <v>0</v>
      </c>
      <c r="H10" s="167">
        <f>C10+D10+E10+F10+G10</f>
        <v>41877.66916666667</v>
      </c>
      <c r="I10" s="167">
        <f>H10/100*24.2</f>
        <v>10134.395938333333</v>
      </c>
      <c r="J10" s="167">
        <v>1683.87</v>
      </c>
      <c r="K10" s="167">
        <v>674.23</v>
      </c>
      <c r="L10" s="167">
        <v>2378.65</v>
      </c>
      <c r="M10" s="167">
        <f>I10+J10+K10+L10</f>
        <v>14871.145938333333</v>
      </c>
      <c r="N10" s="167">
        <f>H10/100*8.5</f>
        <v>3559.601879166667</v>
      </c>
    </row>
    <row r="11" spans="1:14" ht="34.5" customHeight="1">
      <c r="A11" s="180" t="s">
        <v>229</v>
      </c>
      <c r="B11" s="164">
        <f>H11+M11+N11</f>
        <v>62821.263707499995</v>
      </c>
      <c r="C11" s="165">
        <v>40266.99</v>
      </c>
      <c r="D11" s="166">
        <v>0</v>
      </c>
      <c r="E11" s="166">
        <v>0</v>
      </c>
      <c r="F11" s="165">
        <f>C11/12</f>
        <v>3355.5825</v>
      </c>
      <c r="G11" s="166">
        <v>0</v>
      </c>
      <c r="H11" s="167">
        <f>C11+F11</f>
        <v>43622.572499999995</v>
      </c>
      <c r="I11" s="165">
        <f>H11/100*24.2</f>
        <v>10556.662545</v>
      </c>
      <c r="J11" s="167">
        <v>1754.03</v>
      </c>
      <c r="K11" s="165">
        <v>702.32</v>
      </c>
      <c r="L11" s="165">
        <v>2477.76</v>
      </c>
      <c r="M11" s="165">
        <f>I11+J11+K11+L11</f>
        <v>15490.772545</v>
      </c>
      <c r="N11" s="167">
        <f>H11/100*8.5</f>
        <v>3707.9186624999998</v>
      </c>
    </row>
    <row r="12" spans="1:14" ht="34.5" customHeight="1" thickBot="1">
      <c r="A12" s="182" t="s">
        <v>230</v>
      </c>
      <c r="B12" s="183">
        <f>H12+M12+N12</f>
        <v>62909.523069999996</v>
      </c>
      <c r="C12" s="172">
        <v>24450.36</v>
      </c>
      <c r="D12" s="172">
        <v>12785.4</v>
      </c>
      <c r="E12" s="172">
        <v>5028.67</v>
      </c>
      <c r="F12" s="172">
        <f>C12/12</f>
        <v>2037.53</v>
      </c>
      <c r="G12" s="172">
        <v>1065.45</v>
      </c>
      <c r="H12" s="184">
        <f>C12+D12+E12+F12+G12</f>
        <v>45367.409999999996</v>
      </c>
      <c r="I12" s="184">
        <f>H12/100*24.2</f>
        <v>10978.913219999999</v>
      </c>
      <c r="J12" s="185"/>
      <c r="K12" s="184">
        <v>730.42</v>
      </c>
      <c r="L12" s="184">
        <v>1976.55</v>
      </c>
      <c r="M12" s="184">
        <f>I12+J12+K12+L12</f>
        <v>13685.883219999998</v>
      </c>
      <c r="N12" s="184">
        <f>H12/100*8.5</f>
        <v>3856.2298499999997</v>
      </c>
    </row>
    <row r="13" ht="24.75" customHeight="1" thickTop="1"/>
    <row r="14" ht="15">
      <c r="A14" s="186" t="s">
        <v>231</v>
      </c>
    </row>
  </sheetData>
  <sheetProtection/>
  <printOptions/>
  <pageMargins left="0.16" right="0.07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31"/>
  <sheetViews>
    <sheetView zoomScalePageLayoutView="0" workbookViewId="0" topLeftCell="A413">
      <selection activeCell="O471" sqref="O471"/>
    </sheetView>
  </sheetViews>
  <sheetFormatPr defaultColWidth="9.140625" defaultRowHeight="15"/>
  <cols>
    <col min="1" max="1" width="8.140625" style="52" customWidth="1"/>
    <col min="2" max="2" width="15.140625" style="52" customWidth="1"/>
    <col min="3" max="3" width="10.8515625" style="52" customWidth="1"/>
    <col min="4" max="4" width="12.28125" style="52" customWidth="1"/>
    <col min="5" max="5" width="32.140625" style="53" customWidth="1"/>
    <col min="6" max="6" width="16.140625" style="53" hidden="1" customWidth="1"/>
    <col min="7" max="7" width="12.00390625" style="53" hidden="1" customWidth="1"/>
    <col min="8" max="8" width="16.8515625" style="53" customWidth="1"/>
    <col min="9" max="9" width="13.140625" style="53" customWidth="1"/>
    <col min="10" max="10" width="12.140625" style="53" customWidth="1"/>
    <col min="11" max="11" width="10.8515625" style="53" customWidth="1"/>
    <col min="12" max="12" width="10.421875" style="53" customWidth="1"/>
    <col min="13" max="13" width="7.8515625" style="54" customWidth="1"/>
    <col min="14" max="14" width="8.28125" style="54" customWidth="1"/>
    <col min="15" max="15" width="10.8515625" style="54" customWidth="1"/>
    <col min="16" max="16" width="8.00390625" style="54" customWidth="1"/>
    <col min="17" max="17" width="10.8515625" style="54" customWidth="1"/>
    <col min="18" max="18" width="9.57421875" style="54" customWidth="1"/>
    <col min="19" max="19" width="9.28125" style="54" customWidth="1"/>
    <col min="20" max="20" width="10.140625" style="55" hidden="1" customWidth="1"/>
    <col min="21" max="21" width="10.7109375" style="53" customWidth="1"/>
    <col min="22" max="22" width="9.140625" style="56" customWidth="1"/>
    <col min="23" max="16384" width="9.140625" style="53" customWidth="1"/>
  </cols>
  <sheetData>
    <row r="1" spans="1:22" s="5" customFormat="1" ht="12.75" hidden="1">
      <c r="A1" s="1"/>
      <c r="B1" s="2" t="s">
        <v>11</v>
      </c>
      <c r="C1" s="3"/>
      <c r="D1" s="4"/>
      <c r="T1" s="6"/>
      <c r="V1" s="7"/>
    </row>
    <row r="2" spans="1:22" s="5" customFormat="1" ht="12.75" hidden="1">
      <c r="A2" s="1"/>
      <c r="B2" s="1"/>
      <c r="C2" s="1"/>
      <c r="D2" s="4"/>
      <c r="T2" s="6"/>
      <c r="V2" s="7"/>
    </row>
    <row r="3" spans="1:22" s="5" customFormat="1" ht="14.25" hidden="1" thickBot="1" thickTop="1">
      <c r="A3" s="8" t="s">
        <v>12</v>
      </c>
      <c r="B3" s="8" t="s">
        <v>13</v>
      </c>
      <c r="C3" s="8" t="s">
        <v>14</v>
      </c>
      <c r="D3" s="8" t="s">
        <v>15</v>
      </c>
      <c r="E3" s="9" t="s">
        <v>16</v>
      </c>
      <c r="F3" s="9" t="s">
        <v>17</v>
      </c>
      <c r="G3" s="9"/>
      <c r="H3" s="9"/>
      <c r="I3" s="9" t="s">
        <v>18</v>
      </c>
      <c r="J3" s="9" t="s">
        <v>19</v>
      </c>
      <c r="K3" s="9" t="s">
        <v>20</v>
      </c>
      <c r="L3" s="9" t="s">
        <v>21</v>
      </c>
      <c r="M3" s="9" t="s">
        <v>22</v>
      </c>
      <c r="N3" s="9" t="s">
        <v>23</v>
      </c>
      <c r="O3" s="9" t="s">
        <v>24</v>
      </c>
      <c r="P3" s="9" t="s">
        <v>25</v>
      </c>
      <c r="Q3" s="9" t="s">
        <v>26</v>
      </c>
      <c r="R3" s="9" t="s">
        <v>27</v>
      </c>
      <c r="S3" s="9" t="s">
        <v>28</v>
      </c>
      <c r="T3" s="10" t="s">
        <v>29</v>
      </c>
      <c r="V3" s="7"/>
    </row>
    <row r="4" spans="1:22" s="5" customFormat="1" ht="12.75" hidden="1">
      <c r="A4" s="1" t="s">
        <v>10</v>
      </c>
      <c r="B4" s="1" t="s">
        <v>30</v>
      </c>
      <c r="C4" s="1">
        <v>0</v>
      </c>
      <c r="D4" s="1" t="s">
        <v>31</v>
      </c>
      <c r="E4" s="5" t="s">
        <v>32</v>
      </c>
      <c r="F4" s="5" t="s">
        <v>33</v>
      </c>
      <c r="I4" s="11">
        <f>20778.42265368*1.0282</f>
        <v>21364.374172513777</v>
      </c>
      <c r="J4" s="11">
        <f>1.0282*'[1]TabStip_docenti esatta 02 03 04'!H155</f>
        <v>0</v>
      </c>
      <c r="K4" s="11">
        <f>1.0282*'[1]TabStip_docenti esatta 02 03 04'!I155</f>
        <v>8892.261622146847</v>
      </c>
      <c r="L4" s="11">
        <f>1.0282*'[1]TabStip_docenti esatta 02 03 04'!J155</f>
        <v>0</v>
      </c>
      <c r="M4" s="11">
        <f aca="true" t="shared" si="0" ref="M4:M67">(I4+J4)/12</f>
        <v>1780.364514376148</v>
      </c>
      <c r="N4" s="11">
        <f aca="true" t="shared" si="1" ref="N4:N67">K4/12</f>
        <v>741.0218018455706</v>
      </c>
      <c r="O4" s="11">
        <f aca="true" t="shared" si="2" ref="O4:O67">SUM(I4:N4)</f>
        <v>32778.02211088234</v>
      </c>
      <c r="P4" s="11">
        <f aca="true" t="shared" si="3" ref="P4:P67">O4*8.5/100</f>
        <v>2786.1318794249987</v>
      </c>
      <c r="Q4" s="11">
        <f aca="true" t="shared" si="4" ref="Q4:Q67">O4*24.2/100</f>
        <v>7932.281350833526</v>
      </c>
      <c r="R4" s="11">
        <f>(I4+J4)*18%*24.2%</f>
        <v>930.6321389547</v>
      </c>
      <c r="S4" s="11">
        <f aca="true" t="shared" si="5" ref="S4:S67">(I4+J4+M4)*80%*7.1%+(K4+N4)*80%*60%*7.1%</f>
        <v>1642.9234565050094</v>
      </c>
      <c r="T4" s="12">
        <f aca="true" t="shared" si="6" ref="T4:T67">O4+P4+Q4+R4+S4</f>
        <v>46069.99093660057</v>
      </c>
      <c r="V4" s="7"/>
    </row>
    <row r="5" spans="1:22" s="5" customFormat="1" ht="12.75" hidden="1">
      <c r="A5" s="1" t="s">
        <v>10</v>
      </c>
      <c r="B5" s="1" t="s">
        <v>30</v>
      </c>
      <c r="C5" s="1">
        <v>0</v>
      </c>
      <c r="D5" s="1" t="s">
        <v>34</v>
      </c>
      <c r="E5" s="5" t="s">
        <v>35</v>
      </c>
      <c r="F5" s="5" t="s">
        <v>36</v>
      </c>
      <c r="I5" s="11">
        <f>28669.47820362*1.0282</f>
        <v>29477.957488962085</v>
      </c>
      <c r="J5" s="11">
        <f>1.0282*'[1]TabStip_docenti esatta 02 03 04'!H156</f>
        <v>0</v>
      </c>
      <c r="K5" s="11">
        <f>1.0282*'[1]TabStip_docenti esatta 02 03 04'!I156</f>
        <v>9450.559679460843</v>
      </c>
      <c r="L5" s="11">
        <f>1.0282*'[1]TabStip_docenti esatta 02 03 04'!J156</f>
        <v>6801.862427079379</v>
      </c>
      <c r="M5" s="11">
        <f t="shared" si="0"/>
        <v>2456.496457413507</v>
      </c>
      <c r="N5" s="11">
        <f t="shared" si="1"/>
        <v>787.5466399550702</v>
      </c>
      <c r="O5" s="11">
        <f t="shared" si="2"/>
        <v>48974.42269287089</v>
      </c>
      <c r="P5" s="11">
        <f t="shared" si="3"/>
        <v>4162.825928894025</v>
      </c>
      <c r="Q5" s="11">
        <f t="shared" si="4"/>
        <v>11851.810291674754</v>
      </c>
      <c r="R5" s="11"/>
      <c r="S5" s="11">
        <f t="shared" si="5"/>
        <v>2162.791647519828</v>
      </c>
      <c r="T5" s="12">
        <f t="shared" si="6"/>
        <v>67151.85056095949</v>
      </c>
      <c r="V5" s="7"/>
    </row>
    <row r="6" spans="1:22" s="5" customFormat="1" ht="12.75" hidden="1">
      <c r="A6" s="1" t="s">
        <v>10</v>
      </c>
      <c r="B6" s="1" t="s">
        <v>37</v>
      </c>
      <c r="C6" s="1">
        <v>0</v>
      </c>
      <c r="D6" s="1" t="s">
        <v>31</v>
      </c>
      <c r="E6" s="5" t="s">
        <v>38</v>
      </c>
      <c r="I6" s="11">
        <f>22493.870871075*1.0282</f>
        <v>23128.198029639316</v>
      </c>
      <c r="J6" s="11">
        <f>1.0282*'[1]TabStip_docenti esatta 02 03 04'!H157</f>
        <v>0</v>
      </c>
      <c r="K6" s="11">
        <f>1.0282*'[1]TabStip_docenti esatta 02 03 04'!I157</f>
        <v>9013.622848548735</v>
      </c>
      <c r="L6" s="11">
        <f>1.0282*'[1]TabStip_docenti esatta 02 03 04'!J157</f>
        <v>0</v>
      </c>
      <c r="M6" s="11">
        <f t="shared" si="0"/>
        <v>1927.3498358032764</v>
      </c>
      <c r="N6" s="11">
        <f t="shared" si="1"/>
        <v>751.1352373790613</v>
      </c>
      <c r="O6" s="11">
        <f t="shared" si="2"/>
        <v>34820.305951370385</v>
      </c>
      <c r="P6" s="11">
        <f t="shared" si="3"/>
        <v>2959.726005866483</v>
      </c>
      <c r="Q6" s="11">
        <f t="shared" si="4"/>
        <v>8426.514040231632</v>
      </c>
      <c r="R6" s="11">
        <f>(I6+J6)*18%*24.2%</f>
        <v>1007.4643061710885</v>
      </c>
      <c r="S6" s="11">
        <f t="shared" si="5"/>
        <v>1755.9380743255585</v>
      </c>
      <c r="T6" s="12">
        <f t="shared" si="6"/>
        <v>48969.94837796515</v>
      </c>
      <c r="V6" s="7"/>
    </row>
    <row r="7" spans="1:22" s="5" customFormat="1" ht="12.75" hidden="1">
      <c r="A7" s="1" t="s">
        <v>10</v>
      </c>
      <c r="B7" s="1" t="s">
        <v>37</v>
      </c>
      <c r="C7" s="1">
        <v>0</v>
      </c>
      <c r="D7" s="1" t="s">
        <v>34</v>
      </c>
      <c r="E7" s="5" t="s">
        <v>39</v>
      </c>
      <c r="I7" s="11">
        <f>31071.09112446*1.0282</f>
        <v>31947.295894169773</v>
      </c>
      <c r="J7" s="11">
        <f>1.0282*'[1]TabStip_docenti esatta 02 03 04'!H158</f>
        <v>0</v>
      </c>
      <c r="K7" s="11">
        <f>1.0282*'[1]TabStip_docenti esatta 02 03 04'!I158</f>
        <v>9620.471822752655</v>
      </c>
      <c r="L7" s="11">
        <f>1.0282*'[1]TabStip_docenti esatta 02 03 04'!J158</f>
        <v>6801.862427079379</v>
      </c>
      <c r="M7" s="11">
        <f t="shared" si="0"/>
        <v>2662.274657847481</v>
      </c>
      <c r="N7" s="11">
        <f t="shared" si="1"/>
        <v>801.7059852293879</v>
      </c>
      <c r="O7" s="11">
        <f t="shared" si="2"/>
        <v>51833.61078707868</v>
      </c>
      <c r="P7" s="11">
        <f t="shared" si="3"/>
        <v>4405.856916901688</v>
      </c>
      <c r="Q7" s="11">
        <f t="shared" si="4"/>
        <v>12543.73381047304</v>
      </c>
      <c r="R7" s="11"/>
      <c r="S7" s="11">
        <f t="shared" si="5"/>
        <v>2321.011427050608</v>
      </c>
      <c r="T7" s="12">
        <f t="shared" si="6"/>
        <v>71104.21294150401</v>
      </c>
      <c r="V7" s="7"/>
    </row>
    <row r="8" spans="1:22" s="5" customFormat="1" ht="12.75" hidden="1">
      <c r="A8" s="1" t="s">
        <v>10</v>
      </c>
      <c r="B8" s="1" t="s">
        <v>37</v>
      </c>
      <c r="C8" s="1">
        <v>1</v>
      </c>
      <c r="D8" s="1" t="s">
        <v>31</v>
      </c>
      <c r="E8" s="5" t="s">
        <v>40</v>
      </c>
      <c r="I8" s="11">
        <f>22493.870871075*1.0282</f>
        <v>23128.198029639316</v>
      </c>
      <c r="J8" s="11">
        <f>1.0282*'[1]TabStip_docenti esatta 02 03 04'!H159</f>
        <v>1850.2579844808693</v>
      </c>
      <c r="K8" s="11">
        <f>1.0282*'[1]TabStip_docenti esatta 02 03 04'!I159</f>
        <v>9013.622848548735</v>
      </c>
      <c r="L8" s="11">
        <f>1.0282*'[1]TabStip_docenti esatta 02 03 04'!J159</f>
        <v>0</v>
      </c>
      <c r="M8" s="11">
        <f t="shared" si="0"/>
        <v>2081.538001176682</v>
      </c>
      <c r="N8" s="11">
        <f t="shared" si="1"/>
        <v>751.1352373790613</v>
      </c>
      <c r="O8" s="11">
        <f t="shared" si="2"/>
        <v>36824.75210122466</v>
      </c>
      <c r="P8" s="11">
        <f t="shared" si="3"/>
        <v>3130.103928604096</v>
      </c>
      <c r="Q8" s="11">
        <f t="shared" si="4"/>
        <v>8911.590008496367</v>
      </c>
      <c r="R8" s="11">
        <f>(I8+J8)*18%*24.2%</f>
        <v>1088.0615439750752</v>
      </c>
      <c r="S8" s="11">
        <f t="shared" si="5"/>
        <v>1869.7906156372815</v>
      </c>
      <c r="T8" s="12">
        <f t="shared" si="6"/>
        <v>51824.29819793748</v>
      </c>
      <c r="V8" s="7"/>
    </row>
    <row r="9" spans="1:22" s="5" customFormat="1" ht="12.75" hidden="1">
      <c r="A9" s="1" t="s">
        <v>10</v>
      </c>
      <c r="B9" s="1" t="s">
        <v>37</v>
      </c>
      <c r="C9" s="1">
        <v>1</v>
      </c>
      <c r="D9" s="1" t="s">
        <v>34</v>
      </c>
      <c r="E9" s="5" t="s">
        <v>41</v>
      </c>
      <c r="I9" s="11">
        <f>31071.09112446*1.0282</f>
        <v>31947.295894169773</v>
      </c>
      <c r="J9" s="11">
        <f>1.0282*'[1]TabStip_docenti esatta 02 03 04'!H160</f>
        <v>2555.783243111637</v>
      </c>
      <c r="K9" s="11">
        <f>1.0282*'[1]TabStip_docenti esatta 02 03 04'!I160</f>
        <v>9620.471822752655</v>
      </c>
      <c r="L9" s="11">
        <f>1.0282*'[1]TabStip_docenti esatta 02 03 04'!J160</f>
        <v>7935.499024560197</v>
      </c>
      <c r="M9" s="11">
        <f t="shared" si="0"/>
        <v>2875.256594773451</v>
      </c>
      <c r="N9" s="11">
        <f t="shared" si="1"/>
        <v>801.7059852293879</v>
      </c>
      <c r="O9" s="11">
        <f t="shared" si="2"/>
        <v>55736.0125645971</v>
      </c>
      <c r="P9" s="11">
        <f t="shared" si="3"/>
        <v>4737.561067990753</v>
      </c>
      <c r="Q9" s="11">
        <f t="shared" si="4"/>
        <v>13488.115040632498</v>
      </c>
      <c r="R9" s="11"/>
      <c r="S9" s="11">
        <f t="shared" si="5"/>
        <v>2478.2772892767443</v>
      </c>
      <c r="T9" s="12">
        <f t="shared" si="6"/>
        <v>76439.9659624971</v>
      </c>
      <c r="V9" s="7"/>
    </row>
    <row r="10" spans="1:22" s="5" customFormat="1" ht="12.75" hidden="1">
      <c r="A10" s="1" t="s">
        <v>10</v>
      </c>
      <c r="B10" s="1" t="s">
        <v>37</v>
      </c>
      <c r="C10" s="1">
        <v>2</v>
      </c>
      <c r="D10" s="1" t="s">
        <v>31</v>
      </c>
      <c r="E10" s="5" t="s">
        <v>42</v>
      </c>
      <c r="I10" s="11">
        <f>22493.870871075*1.0282</f>
        <v>23128.198029639316</v>
      </c>
      <c r="J10" s="11">
        <f>1.0282*'[1]TabStip_docenti esatta 02 03 04'!H161</f>
        <v>3700.5159689617385</v>
      </c>
      <c r="K10" s="11">
        <f>1.0282*'[1]TabStip_docenti esatta 02 03 04'!I161</f>
        <v>9013.622848548735</v>
      </c>
      <c r="L10" s="11">
        <f>1.0282*'[1]TabStip_docenti esatta 02 03 04'!J161</f>
        <v>0</v>
      </c>
      <c r="M10" s="11">
        <f t="shared" si="0"/>
        <v>2235.726166550088</v>
      </c>
      <c r="N10" s="11">
        <f t="shared" si="1"/>
        <v>751.1352373790613</v>
      </c>
      <c r="O10" s="11">
        <f t="shared" si="2"/>
        <v>38829.19825107893</v>
      </c>
      <c r="P10" s="11">
        <f t="shared" si="3"/>
        <v>3300.4818513417094</v>
      </c>
      <c r="Q10" s="11">
        <f t="shared" si="4"/>
        <v>9396.665976761102</v>
      </c>
      <c r="R10" s="11">
        <f>(I10+J10)*18%*24.2%</f>
        <v>1168.6587817790619</v>
      </c>
      <c r="S10" s="11">
        <f t="shared" si="5"/>
        <v>1983.6431569490042</v>
      </c>
      <c r="T10" s="12">
        <f t="shared" si="6"/>
        <v>54678.648017909814</v>
      </c>
      <c r="V10" s="7"/>
    </row>
    <row r="11" spans="1:22" s="5" customFormat="1" ht="12.75" hidden="1">
      <c r="A11" s="1" t="s">
        <v>10</v>
      </c>
      <c r="B11" s="1" t="s">
        <v>37</v>
      </c>
      <c r="C11" s="1">
        <v>2</v>
      </c>
      <c r="D11" s="1" t="s">
        <v>34</v>
      </c>
      <c r="E11" s="5" t="s">
        <v>43</v>
      </c>
      <c r="F11" s="5" t="s">
        <v>44</v>
      </c>
      <c r="I11" s="11">
        <f>31071.09112446*1.0282</f>
        <v>31947.295894169773</v>
      </c>
      <c r="J11" s="11">
        <f>1.0282*'[1]TabStip_docenti esatta 02 03 04'!H162</f>
        <v>5111.566486223274</v>
      </c>
      <c r="K11" s="11">
        <f>1.0282*'[1]TabStip_docenti esatta 02 03 04'!I162</f>
        <v>9620.471822752655</v>
      </c>
      <c r="L11" s="11">
        <f>1.0282*'[1]TabStip_docenti esatta 02 03 04'!J162</f>
        <v>7935.499024560197</v>
      </c>
      <c r="M11" s="11">
        <f t="shared" si="0"/>
        <v>3088.2385316994205</v>
      </c>
      <c r="N11" s="11">
        <f t="shared" si="1"/>
        <v>801.7059852293879</v>
      </c>
      <c r="O11" s="11">
        <f t="shared" si="2"/>
        <v>58504.7777446347</v>
      </c>
      <c r="P11" s="11">
        <f t="shared" si="3"/>
        <v>4972.90610829395</v>
      </c>
      <c r="Q11" s="11">
        <f t="shared" si="4"/>
        <v>14158.156214201597</v>
      </c>
      <c r="R11" s="11"/>
      <c r="S11" s="11">
        <f t="shared" si="5"/>
        <v>2635.5431515028795</v>
      </c>
      <c r="T11" s="12">
        <f t="shared" si="6"/>
        <v>80271.38321863313</v>
      </c>
      <c r="V11" s="7"/>
    </row>
    <row r="12" spans="1:22" s="5" customFormat="1" ht="12.75" hidden="1">
      <c r="A12" s="1" t="s">
        <v>10</v>
      </c>
      <c r="B12" s="1" t="s">
        <v>37</v>
      </c>
      <c r="C12" s="1">
        <v>3</v>
      </c>
      <c r="D12" s="1" t="s">
        <v>31</v>
      </c>
      <c r="E12" s="5" t="s">
        <v>45</v>
      </c>
      <c r="I12" s="11">
        <f>22493.870871075*1.0282</f>
        <v>23128.198029639316</v>
      </c>
      <c r="J12" s="11">
        <f>1.0282*'[1]TabStip_docenti esatta 02 03 04'!H163</f>
        <v>5550.773953442607</v>
      </c>
      <c r="K12" s="11">
        <f>1.0282*'[1]TabStip_docenti esatta 02 03 04'!I163</f>
        <v>9013.622848548735</v>
      </c>
      <c r="L12" s="11">
        <f>1.0282*'[1]TabStip_docenti esatta 02 03 04'!J163</f>
        <v>0</v>
      </c>
      <c r="M12" s="11">
        <f t="shared" si="0"/>
        <v>2389.9143319234936</v>
      </c>
      <c r="N12" s="11">
        <f t="shared" si="1"/>
        <v>751.1352373790613</v>
      </c>
      <c r="O12" s="11">
        <f t="shared" si="2"/>
        <v>40833.64440093321</v>
      </c>
      <c r="P12" s="11">
        <f t="shared" si="3"/>
        <v>3470.859774079323</v>
      </c>
      <c r="Q12" s="11">
        <f t="shared" si="4"/>
        <v>9881.741945025837</v>
      </c>
      <c r="R12" s="11">
        <f>(I12+J12)*18%*24.2%</f>
        <v>1249.2560195830486</v>
      </c>
      <c r="S12" s="11">
        <f t="shared" si="5"/>
        <v>2097.495698260727</v>
      </c>
      <c r="T12" s="12">
        <f t="shared" si="6"/>
        <v>57532.997837882154</v>
      </c>
      <c r="V12" s="7"/>
    </row>
    <row r="13" spans="1:22" s="5" customFormat="1" ht="12.75" hidden="1">
      <c r="A13" s="1" t="s">
        <v>10</v>
      </c>
      <c r="B13" s="1" t="s">
        <v>37</v>
      </c>
      <c r="C13" s="1">
        <v>3</v>
      </c>
      <c r="D13" s="1" t="s">
        <v>34</v>
      </c>
      <c r="E13" s="5" t="s">
        <v>46</v>
      </c>
      <c r="F13" s="5" t="s">
        <v>47</v>
      </c>
      <c r="I13" s="11">
        <f>31071.09112446*1.0282</f>
        <v>31947.295894169773</v>
      </c>
      <c r="J13" s="11">
        <f>1.0282*'[1]TabStip_docenti esatta 02 03 04'!H164</f>
        <v>7667.349729334912</v>
      </c>
      <c r="K13" s="11">
        <f>1.0282*'[1]TabStip_docenti esatta 02 03 04'!I164</f>
        <v>9620.471822752655</v>
      </c>
      <c r="L13" s="11">
        <f>1.0282*'[1]TabStip_docenti esatta 02 03 04'!J164</f>
        <v>9069.146332589631</v>
      </c>
      <c r="M13" s="11">
        <f t="shared" si="0"/>
        <v>3301.2204686253904</v>
      </c>
      <c r="N13" s="11">
        <f t="shared" si="1"/>
        <v>801.7059852293879</v>
      </c>
      <c r="O13" s="11">
        <f t="shared" si="2"/>
        <v>62407.19023270175</v>
      </c>
      <c r="P13" s="11">
        <f t="shared" si="3"/>
        <v>5304.611169779649</v>
      </c>
      <c r="Q13" s="11">
        <f t="shared" si="4"/>
        <v>15102.540036313823</v>
      </c>
      <c r="R13" s="11"/>
      <c r="S13" s="11">
        <f t="shared" si="5"/>
        <v>2792.8090137290164</v>
      </c>
      <c r="T13" s="12">
        <f t="shared" si="6"/>
        <v>85607.15045252423</v>
      </c>
      <c r="V13" s="7"/>
    </row>
    <row r="14" spans="1:22" s="5" customFormat="1" ht="12.75" hidden="1">
      <c r="A14" s="1" t="s">
        <v>10</v>
      </c>
      <c r="B14" s="1" t="s">
        <v>37</v>
      </c>
      <c r="C14" s="1">
        <v>4</v>
      </c>
      <c r="D14" s="1" t="s">
        <v>31</v>
      </c>
      <c r="E14" s="5" t="s">
        <v>48</v>
      </c>
      <c r="I14" s="11">
        <f>22493.870871075*1.0282</f>
        <v>23128.198029639316</v>
      </c>
      <c r="J14" s="11">
        <f>1.0282*'[1]TabStip_docenti esatta 02 03 04'!H165</f>
        <v>7401.031937923477</v>
      </c>
      <c r="K14" s="11">
        <f>1.0282*'[1]TabStip_docenti esatta 02 03 04'!I165</f>
        <v>9013.622848548735</v>
      </c>
      <c r="L14" s="11">
        <f>1.0282*'[1]TabStip_docenti esatta 02 03 04'!J165</f>
        <v>0</v>
      </c>
      <c r="M14" s="11">
        <f t="shared" si="0"/>
        <v>2544.1024972968994</v>
      </c>
      <c r="N14" s="11">
        <f t="shared" si="1"/>
        <v>751.1352373790613</v>
      </c>
      <c r="O14" s="11">
        <f t="shared" si="2"/>
        <v>42838.09055078749</v>
      </c>
      <c r="P14" s="11">
        <f t="shared" si="3"/>
        <v>3641.237696816937</v>
      </c>
      <c r="Q14" s="11">
        <f t="shared" si="4"/>
        <v>10366.817913290573</v>
      </c>
      <c r="R14" s="11">
        <f>(I14+J14)*18%*24.2%</f>
        <v>1329.8532573870352</v>
      </c>
      <c r="S14" s="11">
        <f t="shared" si="5"/>
        <v>2211.34823957245</v>
      </c>
      <c r="T14" s="12">
        <f t="shared" si="6"/>
        <v>60387.34765785448</v>
      </c>
      <c r="V14" s="7"/>
    </row>
    <row r="15" spans="1:22" s="5" customFormat="1" ht="12.75" hidden="1">
      <c r="A15" s="1" t="s">
        <v>10</v>
      </c>
      <c r="B15" s="1" t="s">
        <v>37</v>
      </c>
      <c r="C15" s="1">
        <v>4</v>
      </c>
      <c r="D15" s="1" t="s">
        <v>34</v>
      </c>
      <c r="E15" s="5" t="s">
        <v>49</v>
      </c>
      <c r="F15" s="5" t="s">
        <v>50</v>
      </c>
      <c r="I15" s="11">
        <f>31071.09112446*1.0282</f>
        <v>31947.295894169773</v>
      </c>
      <c r="J15" s="11">
        <f>1.0282*'[1]TabStip_docenti esatta 02 03 04'!H166</f>
        <v>10223.132972446549</v>
      </c>
      <c r="K15" s="11">
        <f>1.0282*'[1]TabStip_docenti esatta 02 03 04'!I166</f>
        <v>9620.471822752655</v>
      </c>
      <c r="L15" s="11">
        <f>1.0282*'[1]TabStip_docenti esatta 02 03 04'!J166</f>
        <v>9069.146332589631</v>
      </c>
      <c r="M15" s="11">
        <f t="shared" si="0"/>
        <v>3514.20240555136</v>
      </c>
      <c r="N15" s="11">
        <f t="shared" si="1"/>
        <v>801.7059852293879</v>
      </c>
      <c r="O15" s="11">
        <f t="shared" si="2"/>
        <v>65175.95541273936</v>
      </c>
      <c r="P15" s="11">
        <f t="shared" si="3"/>
        <v>5539.956210082845</v>
      </c>
      <c r="Q15" s="11">
        <f t="shared" si="4"/>
        <v>15772.581209882925</v>
      </c>
      <c r="R15" s="11"/>
      <c r="S15" s="11">
        <f t="shared" si="5"/>
        <v>2950.074875955152</v>
      </c>
      <c r="T15" s="12">
        <f t="shared" si="6"/>
        <v>89438.56770866027</v>
      </c>
      <c r="V15" s="7"/>
    </row>
    <row r="16" spans="1:22" s="5" customFormat="1" ht="12.75" hidden="1">
      <c r="A16" s="1" t="s">
        <v>10</v>
      </c>
      <c r="B16" s="1" t="s">
        <v>37</v>
      </c>
      <c r="C16" s="1">
        <v>5</v>
      </c>
      <c r="D16" s="1" t="s">
        <v>31</v>
      </c>
      <c r="E16" s="5" t="s">
        <v>51</v>
      </c>
      <c r="I16" s="11">
        <f>22493.870871075*1.0282</f>
        <v>23128.198029639316</v>
      </c>
      <c r="J16" s="11">
        <f>1.0282*'[1]TabStip_docenti esatta 02 03 04'!H167</f>
        <v>9251.289922404345</v>
      </c>
      <c r="K16" s="11">
        <f>1.0282*'[1]TabStip_docenti esatta 02 03 04'!I167</f>
        <v>9013.622848548735</v>
      </c>
      <c r="L16" s="11">
        <f>1.0282*'[1]TabStip_docenti esatta 02 03 04'!J167</f>
        <v>0</v>
      </c>
      <c r="M16" s="11">
        <f t="shared" si="0"/>
        <v>2698.2906626703048</v>
      </c>
      <c r="N16" s="11">
        <f t="shared" si="1"/>
        <v>751.1352373790613</v>
      </c>
      <c r="O16" s="11">
        <f t="shared" si="2"/>
        <v>44842.53670064176</v>
      </c>
      <c r="P16" s="11">
        <f t="shared" si="3"/>
        <v>3811.6156195545495</v>
      </c>
      <c r="Q16" s="11">
        <f t="shared" si="4"/>
        <v>10851.893881555305</v>
      </c>
      <c r="R16" s="11">
        <f>(I16+J16)*18%*24.2%</f>
        <v>1410.4504951910217</v>
      </c>
      <c r="S16" s="11">
        <f t="shared" si="5"/>
        <v>2325.200780884172</v>
      </c>
      <c r="T16" s="12">
        <f t="shared" si="6"/>
        <v>63241.697477826805</v>
      </c>
      <c r="V16" s="7"/>
    </row>
    <row r="17" spans="1:22" s="5" customFormat="1" ht="12.75" hidden="1">
      <c r="A17" s="1" t="s">
        <v>10</v>
      </c>
      <c r="B17" s="1" t="s">
        <v>37</v>
      </c>
      <c r="C17" s="1">
        <v>5</v>
      </c>
      <c r="D17" s="1" t="s">
        <v>34</v>
      </c>
      <c r="E17" s="5" t="s">
        <v>52</v>
      </c>
      <c r="F17" s="5" t="s">
        <v>53</v>
      </c>
      <c r="I17" s="11">
        <f>31071.09112446*1.0282</f>
        <v>31947.295894169773</v>
      </c>
      <c r="J17" s="11">
        <f>1.0282*'[1]TabStip_docenti esatta 02 03 04'!H168</f>
        <v>12778.916215558185</v>
      </c>
      <c r="K17" s="11">
        <f>1.0282*'[1]TabStip_docenti esatta 02 03 04'!I168</f>
        <v>9620.471822752655</v>
      </c>
      <c r="L17" s="11">
        <f>1.0282*'[1]TabStip_docenti esatta 02 03 04'!J168</f>
        <v>10202.782930070449</v>
      </c>
      <c r="M17" s="11">
        <f t="shared" si="0"/>
        <v>3727.18434247733</v>
      </c>
      <c r="N17" s="11">
        <f t="shared" si="1"/>
        <v>801.7059852293879</v>
      </c>
      <c r="O17" s="11">
        <f t="shared" si="2"/>
        <v>69078.35719025778</v>
      </c>
      <c r="P17" s="11">
        <f t="shared" si="3"/>
        <v>5871.660361171912</v>
      </c>
      <c r="Q17" s="11">
        <f t="shared" si="4"/>
        <v>16716.962440042385</v>
      </c>
      <c r="R17" s="11"/>
      <c r="S17" s="11">
        <f t="shared" si="5"/>
        <v>3107.3407381812885</v>
      </c>
      <c r="T17" s="12">
        <f t="shared" si="6"/>
        <v>94774.32072965338</v>
      </c>
      <c r="V17" s="7"/>
    </row>
    <row r="18" spans="1:22" s="5" customFormat="1" ht="12.75" hidden="1">
      <c r="A18" s="1" t="s">
        <v>10</v>
      </c>
      <c r="B18" s="1" t="s">
        <v>37</v>
      </c>
      <c r="C18" s="1">
        <v>6</v>
      </c>
      <c r="D18" s="1" t="s">
        <v>31</v>
      </c>
      <c r="E18" s="5" t="s">
        <v>54</v>
      </c>
      <c r="F18" s="5" t="s">
        <v>55</v>
      </c>
      <c r="I18" s="11">
        <f>22493.870871075*1.0282</f>
        <v>23128.198029639316</v>
      </c>
      <c r="J18" s="11">
        <f>1.0282*'[1]TabStip_docenti esatta 02 03 04'!H169</f>
        <v>11101.547906885215</v>
      </c>
      <c r="K18" s="11">
        <f>1.0282*'[1]TabStip_docenti esatta 02 03 04'!I169</f>
        <v>9013.622848548735</v>
      </c>
      <c r="L18" s="11">
        <f>1.0282*'[1]TabStip_docenti esatta 02 03 04'!J169</f>
        <v>0</v>
      </c>
      <c r="M18" s="11">
        <f t="shared" si="0"/>
        <v>2852.478828043711</v>
      </c>
      <c r="N18" s="11">
        <f t="shared" si="1"/>
        <v>751.1352373790613</v>
      </c>
      <c r="O18" s="11">
        <f t="shared" si="2"/>
        <v>46846.98285049604</v>
      </c>
      <c r="P18" s="11">
        <f t="shared" si="3"/>
        <v>3981.9935422921635</v>
      </c>
      <c r="Q18" s="11">
        <f t="shared" si="4"/>
        <v>11336.969849820041</v>
      </c>
      <c r="R18" s="11">
        <f>(I18+J18)*18%*24.2%</f>
        <v>1491.0477329950083</v>
      </c>
      <c r="S18" s="11">
        <f t="shared" si="5"/>
        <v>2439.0533221958954</v>
      </c>
      <c r="T18" s="12">
        <f t="shared" si="6"/>
        <v>66096.04729779914</v>
      </c>
      <c r="V18" s="7"/>
    </row>
    <row r="19" spans="1:22" s="5" customFormat="1" ht="12.75" hidden="1">
      <c r="A19" s="1" t="s">
        <v>10</v>
      </c>
      <c r="B19" s="1" t="s">
        <v>37</v>
      </c>
      <c r="C19" s="1">
        <v>6</v>
      </c>
      <c r="D19" s="1" t="s">
        <v>34</v>
      </c>
      <c r="E19" s="5" t="s">
        <v>56</v>
      </c>
      <c r="F19" s="5" t="s">
        <v>57</v>
      </c>
      <c r="I19" s="11">
        <f aca="true" t="shared" si="7" ref="I19:I27">31071.09112446*1.0282</f>
        <v>31947.295894169773</v>
      </c>
      <c r="J19" s="11">
        <f>1.0282*'[1]TabStip_docenti esatta 02 03 04'!H170</f>
        <v>15334.699458669824</v>
      </c>
      <c r="K19" s="11">
        <f>1.0282*'[1]TabStip_docenti esatta 02 03 04'!I170</f>
        <v>9620.471822752655</v>
      </c>
      <c r="L19" s="11">
        <f>1.0282*'[1]TabStip_docenti esatta 02 03 04'!J170</f>
        <v>11336.430238099885</v>
      </c>
      <c r="M19" s="11">
        <f t="shared" si="0"/>
        <v>3940.1662794033</v>
      </c>
      <c r="N19" s="11">
        <f t="shared" si="1"/>
        <v>801.7059852293879</v>
      </c>
      <c r="O19" s="11">
        <f t="shared" si="2"/>
        <v>72980.76967832484</v>
      </c>
      <c r="P19" s="11">
        <f t="shared" si="3"/>
        <v>6203.365422657612</v>
      </c>
      <c r="Q19" s="11">
        <f t="shared" si="4"/>
        <v>17661.346262154613</v>
      </c>
      <c r="R19" s="11"/>
      <c r="S19" s="11">
        <f t="shared" si="5"/>
        <v>3264.6066004074246</v>
      </c>
      <c r="T19" s="12">
        <f t="shared" si="6"/>
        <v>100110.0879635445</v>
      </c>
      <c r="V19" s="7"/>
    </row>
    <row r="20" spans="1:22" s="5" customFormat="1" ht="12.75" hidden="1">
      <c r="A20" s="1" t="s">
        <v>10</v>
      </c>
      <c r="B20" s="1" t="s">
        <v>37</v>
      </c>
      <c r="C20" s="1">
        <v>7</v>
      </c>
      <c r="D20" s="1" t="s">
        <v>34</v>
      </c>
      <c r="E20" s="5" t="s">
        <v>58</v>
      </c>
      <c r="F20" s="5" t="s">
        <v>59</v>
      </c>
      <c r="I20" s="11">
        <f t="shared" si="7"/>
        <v>31947.295894169773</v>
      </c>
      <c r="J20" s="11">
        <f>1.0282*'[1]TabStip_docenti esatta 02 03 04'!H171</f>
        <v>18171.62389248159</v>
      </c>
      <c r="K20" s="11">
        <f>1.0282*'[1]TabStip_docenti esatta 02 03 04'!I171</f>
        <v>9620.471822752655</v>
      </c>
      <c r="L20" s="11">
        <f>1.0282*'[1]TabStip_docenti esatta 02 03 04'!J171</f>
        <v>11336.430238099885</v>
      </c>
      <c r="M20" s="11">
        <f t="shared" si="0"/>
        <v>4176.576648887613</v>
      </c>
      <c r="N20" s="11">
        <f t="shared" si="1"/>
        <v>801.7059852293879</v>
      </c>
      <c r="O20" s="11">
        <f t="shared" si="2"/>
        <v>76054.1044816209</v>
      </c>
      <c r="P20" s="11">
        <f t="shared" si="3"/>
        <v>6464.598880937777</v>
      </c>
      <c r="Q20" s="11">
        <f t="shared" si="4"/>
        <v>18405.09328455226</v>
      </c>
      <c r="R20" s="11"/>
      <c r="S20" s="11">
        <f t="shared" si="5"/>
        <v>3439.1720172346418</v>
      </c>
      <c r="T20" s="12">
        <f t="shared" si="6"/>
        <v>104362.96866434558</v>
      </c>
      <c r="V20" s="7"/>
    </row>
    <row r="21" spans="1:22" s="5" customFormat="1" ht="12.75" hidden="1">
      <c r="A21" s="1" t="s">
        <v>10</v>
      </c>
      <c r="B21" s="1" t="s">
        <v>37</v>
      </c>
      <c r="C21" s="1">
        <v>8</v>
      </c>
      <c r="D21" s="1" t="s">
        <v>34</v>
      </c>
      <c r="E21" s="5" t="s">
        <v>60</v>
      </c>
      <c r="F21" s="5" t="s">
        <v>61</v>
      </c>
      <c r="I21" s="11">
        <f t="shared" si="7"/>
        <v>31947.295894169773</v>
      </c>
      <c r="J21" s="11">
        <f>1.0282*'[1]TabStip_docenti esatta 02 03 04'!H172</f>
        <v>21008.54832629336</v>
      </c>
      <c r="K21" s="11">
        <f>1.0282*'[1]TabStip_docenti esatta 02 03 04'!I172</f>
        <v>9620.471822752655</v>
      </c>
      <c r="L21" s="11">
        <f>1.0282*'[1]TabStip_docenti esatta 02 03 04'!J172</f>
        <v>11336.430238099885</v>
      </c>
      <c r="M21" s="11">
        <f t="shared" si="0"/>
        <v>4412.987018371928</v>
      </c>
      <c r="N21" s="11">
        <f t="shared" si="1"/>
        <v>801.7059852293879</v>
      </c>
      <c r="O21" s="11">
        <f t="shared" si="2"/>
        <v>79127.43928491698</v>
      </c>
      <c r="P21" s="11">
        <f t="shared" si="3"/>
        <v>6725.832339217944</v>
      </c>
      <c r="Q21" s="11">
        <f t="shared" si="4"/>
        <v>19148.840306949907</v>
      </c>
      <c r="R21" s="11"/>
      <c r="S21" s="11">
        <f t="shared" si="5"/>
        <v>3613.7374340618585</v>
      </c>
      <c r="T21" s="12">
        <f t="shared" si="6"/>
        <v>108615.84936514669</v>
      </c>
      <c r="V21" s="7"/>
    </row>
    <row r="22" spans="1:22" s="5" customFormat="1" ht="12.75" hidden="1">
      <c r="A22" s="1" t="s">
        <v>10</v>
      </c>
      <c r="B22" s="1" t="s">
        <v>37</v>
      </c>
      <c r="C22" s="1">
        <v>9</v>
      </c>
      <c r="D22" s="1" t="s">
        <v>34</v>
      </c>
      <c r="E22" s="5" t="s">
        <v>62</v>
      </c>
      <c r="F22" s="5" t="s">
        <v>63</v>
      </c>
      <c r="I22" s="11">
        <f t="shared" si="7"/>
        <v>31947.295894169773</v>
      </c>
      <c r="J22" s="11">
        <f>1.0282*'[1]TabStip_docenti esatta 02 03 04'!H173</f>
        <v>23845.46204955651</v>
      </c>
      <c r="K22" s="11">
        <f>1.0282*'[1]TabStip_docenti esatta 02 03 04'!I173</f>
        <v>9620.471822752655</v>
      </c>
      <c r="L22" s="11">
        <f>1.0282*'[1]TabStip_docenti esatta 02 03 04'!J173</f>
        <v>11336.430238099885</v>
      </c>
      <c r="M22" s="11">
        <f t="shared" si="0"/>
        <v>4649.396495310523</v>
      </c>
      <c r="N22" s="11">
        <f t="shared" si="1"/>
        <v>801.7059852293879</v>
      </c>
      <c r="O22" s="11">
        <f t="shared" si="2"/>
        <v>82200.76248511873</v>
      </c>
      <c r="P22" s="11">
        <f t="shared" si="3"/>
        <v>6987.064811235093</v>
      </c>
      <c r="Q22" s="11">
        <f t="shared" si="4"/>
        <v>19892.58452139873</v>
      </c>
      <c r="R22" s="11"/>
      <c r="S22" s="11">
        <f t="shared" si="5"/>
        <v>3788.3021918333184</v>
      </c>
      <c r="T22" s="12">
        <f t="shared" si="6"/>
        <v>112868.71400958588</v>
      </c>
      <c r="V22" s="7"/>
    </row>
    <row r="23" spans="1:22" s="5" customFormat="1" ht="12.75" hidden="1">
      <c r="A23" s="1" t="s">
        <v>10</v>
      </c>
      <c r="B23" s="1" t="s">
        <v>37</v>
      </c>
      <c r="C23" s="1">
        <v>10</v>
      </c>
      <c r="D23" s="1" t="s">
        <v>34</v>
      </c>
      <c r="E23" s="5" t="s">
        <v>64</v>
      </c>
      <c r="F23" s="5" t="s">
        <v>65</v>
      </c>
      <c r="I23" s="11">
        <f t="shared" si="7"/>
        <v>31947.295894169773</v>
      </c>
      <c r="J23" s="11">
        <f>1.0282*'[1]TabStip_docenti esatta 02 03 04'!H174</f>
        <v>26682.38648336828</v>
      </c>
      <c r="K23" s="11">
        <f>1.0282*'[1]TabStip_docenti esatta 02 03 04'!I174</f>
        <v>9620.471822752655</v>
      </c>
      <c r="L23" s="11">
        <f>1.0282*'[1]TabStip_docenti esatta 02 03 04'!J174</f>
        <v>11336.430238099885</v>
      </c>
      <c r="M23" s="11">
        <f t="shared" si="0"/>
        <v>4885.806864794838</v>
      </c>
      <c r="N23" s="11">
        <f t="shared" si="1"/>
        <v>801.7059852293879</v>
      </c>
      <c r="O23" s="11">
        <f t="shared" si="2"/>
        <v>85274.09728841482</v>
      </c>
      <c r="P23" s="11">
        <f t="shared" si="3"/>
        <v>7248.29826951526</v>
      </c>
      <c r="Q23" s="11">
        <f t="shared" si="4"/>
        <v>20636.331543796387</v>
      </c>
      <c r="R23" s="11"/>
      <c r="S23" s="11">
        <f t="shared" si="5"/>
        <v>3962.8676086605356</v>
      </c>
      <c r="T23" s="12">
        <f t="shared" si="6"/>
        <v>117121.59471038701</v>
      </c>
      <c r="V23" s="7"/>
    </row>
    <row r="24" spans="1:22" s="5" customFormat="1" ht="12.75" hidden="1">
      <c r="A24" s="1" t="s">
        <v>10</v>
      </c>
      <c r="B24" s="1" t="s">
        <v>37</v>
      </c>
      <c r="C24" s="1">
        <v>11</v>
      </c>
      <c r="D24" s="1" t="s">
        <v>34</v>
      </c>
      <c r="E24" s="5" t="s">
        <v>66</v>
      </c>
      <c r="F24" s="5" t="s">
        <v>67</v>
      </c>
      <c r="I24" s="11">
        <f t="shared" si="7"/>
        <v>31947.295894169773</v>
      </c>
      <c r="J24" s="11">
        <f>1.0282*'[1]TabStip_docenti esatta 02 03 04'!H175</f>
        <v>29519.30020663143</v>
      </c>
      <c r="K24" s="11">
        <f>1.0282*'[1]TabStip_docenti esatta 02 03 04'!I175</f>
        <v>9620.471822752655</v>
      </c>
      <c r="L24" s="11">
        <f>1.0282*'[1]TabStip_docenti esatta 02 03 04'!J175</f>
        <v>11336.430238099885</v>
      </c>
      <c r="M24" s="11">
        <f t="shared" si="0"/>
        <v>5122.216341733433</v>
      </c>
      <c r="N24" s="11">
        <f t="shared" si="1"/>
        <v>801.7059852293879</v>
      </c>
      <c r="O24" s="11">
        <f t="shared" si="2"/>
        <v>88347.42048861657</v>
      </c>
      <c r="P24" s="11">
        <f t="shared" si="3"/>
        <v>7509.530741532408</v>
      </c>
      <c r="Q24" s="11">
        <f t="shared" si="4"/>
        <v>21380.07575824521</v>
      </c>
      <c r="R24" s="11"/>
      <c r="S24" s="11">
        <f t="shared" si="5"/>
        <v>4137.432366431995</v>
      </c>
      <c r="T24" s="12">
        <f t="shared" si="6"/>
        <v>121374.45935482618</v>
      </c>
      <c r="V24" s="7"/>
    </row>
    <row r="25" spans="1:22" s="5" customFormat="1" ht="12.75" hidden="1">
      <c r="A25" s="1" t="s">
        <v>10</v>
      </c>
      <c r="B25" s="1" t="s">
        <v>37</v>
      </c>
      <c r="C25" s="1">
        <v>12</v>
      </c>
      <c r="D25" s="1" t="s">
        <v>34</v>
      </c>
      <c r="E25" s="5" t="s">
        <v>68</v>
      </c>
      <c r="F25" s="5" t="s">
        <v>69</v>
      </c>
      <c r="I25" s="11">
        <f t="shared" si="7"/>
        <v>31947.295894169773</v>
      </c>
      <c r="J25" s="11">
        <f>1.0282*'[1]TabStip_docenti esatta 02 03 04'!H176</f>
        <v>32356.224640443193</v>
      </c>
      <c r="K25" s="11">
        <f>1.0282*'[1]TabStip_docenti esatta 02 03 04'!I176</f>
        <v>9620.471822752655</v>
      </c>
      <c r="L25" s="11">
        <f>1.0282*'[1]TabStip_docenti esatta 02 03 04'!J176</f>
        <v>11336.430238099885</v>
      </c>
      <c r="M25" s="11">
        <f t="shared" si="0"/>
        <v>5358.6267112177475</v>
      </c>
      <c r="N25" s="11">
        <f t="shared" si="1"/>
        <v>801.7059852293879</v>
      </c>
      <c r="O25" s="11">
        <f t="shared" si="2"/>
        <v>91420.75529191265</v>
      </c>
      <c r="P25" s="11">
        <f t="shared" si="3"/>
        <v>7770.7641998125755</v>
      </c>
      <c r="Q25" s="11">
        <f t="shared" si="4"/>
        <v>22123.82278064286</v>
      </c>
      <c r="R25" s="11"/>
      <c r="S25" s="11">
        <f t="shared" si="5"/>
        <v>4311.997783259212</v>
      </c>
      <c r="T25" s="12">
        <f t="shared" si="6"/>
        <v>125627.3400556273</v>
      </c>
      <c r="V25" s="7"/>
    </row>
    <row r="26" spans="1:22" s="5" customFormat="1" ht="12.75" hidden="1">
      <c r="A26" s="1" t="s">
        <v>10</v>
      </c>
      <c r="B26" s="1" t="s">
        <v>37</v>
      </c>
      <c r="C26" s="1">
        <v>13</v>
      </c>
      <c r="D26" s="1" t="s">
        <v>34</v>
      </c>
      <c r="E26" s="5" t="s">
        <v>70</v>
      </c>
      <c r="F26" s="5" t="s">
        <v>71</v>
      </c>
      <c r="I26" s="11">
        <f t="shared" si="7"/>
        <v>31947.295894169773</v>
      </c>
      <c r="J26" s="11">
        <f>1.0282*'[1]TabStip_docenti esatta 02 03 04'!H177</f>
        <v>35193.14907425496</v>
      </c>
      <c r="K26" s="11">
        <f>1.0282*'[1]TabStip_docenti esatta 02 03 04'!I177</f>
        <v>9620.471822752655</v>
      </c>
      <c r="L26" s="11">
        <f>1.0282*'[1]TabStip_docenti esatta 02 03 04'!J177</f>
        <v>11336.430238099885</v>
      </c>
      <c r="M26" s="11">
        <f t="shared" si="0"/>
        <v>5595.037080702062</v>
      </c>
      <c r="N26" s="11">
        <f t="shared" si="1"/>
        <v>801.7059852293879</v>
      </c>
      <c r="O26" s="11">
        <f t="shared" si="2"/>
        <v>94494.09009520874</v>
      </c>
      <c r="P26" s="11">
        <f t="shared" si="3"/>
        <v>8031.997658092743</v>
      </c>
      <c r="Q26" s="11">
        <f t="shared" si="4"/>
        <v>22867.56980304052</v>
      </c>
      <c r="R26" s="11"/>
      <c r="S26" s="11">
        <f t="shared" si="5"/>
        <v>4486.56320008643</v>
      </c>
      <c r="T26" s="12">
        <f t="shared" si="6"/>
        <v>129880.22075642843</v>
      </c>
      <c r="V26" s="7"/>
    </row>
    <row r="27" spans="1:22" s="5" customFormat="1" ht="12.75" hidden="1">
      <c r="A27" s="13" t="s">
        <v>10</v>
      </c>
      <c r="B27" s="13" t="s">
        <v>37</v>
      </c>
      <c r="C27" s="13">
        <v>14</v>
      </c>
      <c r="D27" s="13" t="s">
        <v>34</v>
      </c>
      <c r="E27" s="14" t="s">
        <v>72</v>
      </c>
      <c r="F27" s="14" t="s">
        <v>73</v>
      </c>
      <c r="G27" s="14"/>
      <c r="H27" s="14"/>
      <c r="I27" s="15">
        <f t="shared" si="7"/>
        <v>31947.295894169773</v>
      </c>
      <c r="J27" s="15">
        <f>1.0282*'[1]TabStip_docenti esatta 02 03 04'!H178</f>
        <v>38030.06279751811</v>
      </c>
      <c r="K27" s="15">
        <f>1.0282*'[1]TabStip_docenti esatta 02 03 04'!I178</f>
        <v>9620.471822752655</v>
      </c>
      <c r="L27" s="15">
        <f>1.0282*'[1]TabStip_docenti esatta 02 03 04'!J178</f>
        <v>11336.430238099885</v>
      </c>
      <c r="M27" s="15">
        <f t="shared" si="0"/>
        <v>5831.446557640657</v>
      </c>
      <c r="N27" s="15">
        <f t="shared" si="1"/>
        <v>801.7059852293879</v>
      </c>
      <c r="O27" s="15">
        <f t="shared" si="2"/>
        <v>97567.41329541047</v>
      </c>
      <c r="P27" s="15">
        <f t="shared" si="3"/>
        <v>8293.23013010989</v>
      </c>
      <c r="Q27" s="15">
        <f t="shared" si="4"/>
        <v>23611.314017489334</v>
      </c>
      <c r="R27" s="15"/>
      <c r="S27" s="15">
        <f t="shared" si="5"/>
        <v>4661.127957857889</v>
      </c>
      <c r="T27" s="16">
        <f t="shared" si="6"/>
        <v>134133.0854008676</v>
      </c>
      <c r="V27" s="7"/>
    </row>
    <row r="28" spans="1:22" s="5" customFormat="1" ht="12.75" hidden="1">
      <c r="A28" s="1" t="s">
        <v>9</v>
      </c>
      <c r="B28" s="1" t="s">
        <v>74</v>
      </c>
      <c r="C28" s="1">
        <v>0</v>
      </c>
      <c r="D28" s="1" t="s">
        <v>31</v>
      </c>
      <c r="E28" s="5" t="s">
        <v>75</v>
      </c>
      <c r="F28" s="5" t="s">
        <v>76</v>
      </c>
      <c r="I28" s="11">
        <f>14860.151824815*1.0282</f>
        <v>15279.208106274784</v>
      </c>
      <c r="J28" s="11">
        <f>1.0282*'[1]TabStip_docenti esatta 02 03 04'!H179</f>
        <v>0</v>
      </c>
      <c r="K28" s="11">
        <f>1.0282*'[1]TabStip_docenti esatta 02 03 04'!I179</f>
        <v>8473.532723887043</v>
      </c>
      <c r="L28" s="11">
        <f>1.0282*'[1]TabStip_docenti esatta 02 03 04'!J179</f>
        <v>0</v>
      </c>
      <c r="M28" s="11">
        <f t="shared" si="0"/>
        <v>1273.2673421895654</v>
      </c>
      <c r="N28" s="11">
        <f t="shared" si="1"/>
        <v>706.1277269905869</v>
      </c>
      <c r="O28" s="11">
        <f t="shared" si="2"/>
        <v>25732.13589934198</v>
      </c>
      <c r="P28" s="11">
        <f t="shared" si="3"/>
        <v>2187.2315514440684</v>
      </c>
      <c r="Q28" s="11">
        <f t="shared" si="4"/>
        <v>6227.17688764076</v>
      </c>
      <c r="R28" s="11">
        <f>(I28+J28)*18%*24.2%</f>
        <v>665.5623051093296</v>
      </c>
      <c r="S28" s="11">
        <f t="shared" si="5"/>
        <v>1253.0234336386845</v>
      </c>
      <c r="T28" s="12">
        <f t="shared" si="6"/>
        <v>36065.13007717482</v>
      </c>
      <c r="V28" s="7"/>
    </row>
    <row r="29" spans="1:22" s="5" customFormat="1" ht="12.75" hidden="1">
      <c r="A29" s="1" t="s">
        <v>9</v>
      </c>
      <c r="B29" s="1" t="s">
        <v>74</v>
      </c>
      <c r="C29" s="1">
        <v>0</v>
      </c>
      <c r="D29" s="1" t="s">
        <v>34</v>
      </c>
      <c r="E29" s="5" t="s">
        <v>77</v>
      </c>
      <c r="F29" s="5" t="s">
        <v>78</v>
      </c>
      <c r="I29" s="11">
        <f>20383.87612626*1.0282</f>
        <v>20958.70143302053</v>
      </c>
      <c r="J29" s="11">
        <f>1.0282*'[1]TabStip_docenti esatta 02 03 04'!H180</f>
        <v>0</v>
      </c>
      <c r="K29" s="11">
        <f>1.0282*'[1]TabStip_docenti esatta 02 03 04'!I180</f>
        <v>8864.328511348496</v>
      </c>
      <c r="L29" s="11">
        <f>1.0282*'[1]TabStip_docenti esatta 02 03 04'!J180</f>
        <v>4761.299414736119</v>
      </c>
      <c r="M29" s="11">
        <f t="shared" si="0"/>
        <v>1746.558452751711</v>
      </c>
      <c r="N29" s="11">
        <f t="shared" si="1"/>
        <v>738.6940426123747</v>
      </c>
      <c r="O29" s="11">
        <f t="shared" si="2"/>
        <v>37069.58185446924</v>
      </c>
      <c r="P29" s="11">
        <f t="shared" si="3"/>
        <v>3150.9144576298854</v>
      </c>
      <c r="Q29" s="11">
        <f t="shared" si="4"/>
        <v>8970.838808781555</v>
      </c>
      <c r="R29" s="11"/>
      <c r="S29" s="11">
        <f t="shared" si="5"/>
        <v>1616.92977015085</v>
      </c>
      <c r="T29" s="12">
        <f t="shared" si="6"/>
        <v>50808.264891031526</v>
      </c>
      <c r="V29" s="7"/>
    </row>
    <row r="30" spans="1:22" s="5" customFormat="1" ht="12.75" hidden="1">
      <c r="A30" s="1" t="s">
        <v>9</v>
      </c>
      <c r="B30" s="1" t="s">
        <v>79</v>
      </c>
      <c r="C30" s="1">
        <v>0</v>
      </c>
      <c r="D30" s="1" t="s">
        <v>31</v>
      </c>
      <c r="E30" s="5" t="s">
        <v>80</v>
      </c>
      <c r="I30" s="11">
        <f>16060.958285235*1.0282</f>
        <v>16513.877308878626</v>
      </c>
      <c r="J30" s="11">
        <f>1.0282*'[1]TabStip_docenti esatta 02 03 04'!H181</f>
        <v>0</v>
      </c>
      <c r="K30" s="11">
        <f>1.0282*'[1]TabStip_docenti esatta 02 03 04'!I181</f>
        <v>8558.499506081569</v>
      </c>
      <c r="L30" s="11">
        <f>1.0282*'[1]TabStip_docenti esatta 02 03 04'!J181</f>
        <v>0</v>
      </c>
      <c r="M30" s="11">
        <f t="shared" si="0"/>
        <v>1376.156442406552</v>
      </c>
      <c r="N30" s="11">
        <f t="shared" si="1"/>
        <v>713.2082921734641</v>
      </c>
      <c r="O30" s="11">
        <f t="shared" si="2"/>
        <v>27161.741549540213</v>
      </c>
      <c r="P30" s="11">
        <f t="shared" si="3"/>
        <v>2308.748031710918</v>
      </c>
      <c r="Q30" s="11">
        <f t="shared" si="4"/>
        <v>6573.14145498873</v>
      </c>
      <c r="R30" s="11">
        <f>(I30+J30)*18%*24.2%</f>
        <v>719.3444955747528</v>
      </c>
      <c r="S30" s="11">
        <f t="shared" si="5"/>
        <v>1332.1337188375296</v>
      </c>
      <c r="T30" s="12">
        <f t="shared" si="6"/>
        <v>38095.10925065215</v>
      </c>
      <c r="V30" s="7"/>
    </row>
    <row r="31" spans="1:22" s="5" customFormat="1" ht="12.75" hidden="1">
      <c r="A31" s="1" t="s">
        <v>9</v>
      </c>
      <c r="B31" s="1" t="s">
        <v>79</v>
      </c>
      <c r="C31" s="1">
        <v>0</v>
      </c>
      <c r="D31" s="1" t="s">
        <v>34</v>
      </c>
      <c r="E31" s="5" t="s">
        <v>81</v>
      </c>
      <c r="F31" s="5" t="s">
        <v>82</v>
      </c>
      <c r="I31" s="11">
        <f>22065.011420925*1.0282</f>
        <v>22687.244742995084</v>
      </c>
      <c r="J31" s="11">
        <f>1.0282*'[1]TabStip_docenti esatta 02 03 04'!H182</f>
        <v>0</v>
      </c>
      <c r="K31" s="11">
        <f>1.0282*'[1]TabStip_docenti esatta 02 03 04'!I182</f>
        <v>8983.26915376249</v>
      </c>
      <c r="L31" s="11">
        <f>1.0282*'[1]TabStip_docenti esatta 02 03 04'!J182</f>
        <v>4761.299414736119</v>
      </c>
      <c r="M31" s="11">
        <f t="shared" si="0"/>
        <v>1890.6037285829236</v>
      </c>
      <c r="N31" s="11">
        <f t="shared" si="1"/>
        <v>748.6057628135409</v>
      </c>
      <c r="O31" s="11">
        <f t="shared" si="2"/>
        <v>39071.022802890155</v>
      </c>
      <c r="P31" s="11">
        <f t="shared" si="3"/>
        <v>3321.0369382456634</v>
      </c>
      <c r="Q31" s="11">
        <f t="shared" si="4"/>
        <v>9455.187518299417</v>
      </c>
      <c r="R31" s="11"/>
      <c r="S31" s="11">
        <f t="shared" si="5"/>
        <v>1727.6840903425418</v>
      </c>
      <c r="T31" s="12">
        <f t="shared" si="6"/>
        <v>53574.93134977778</v>
      </c>
      <c r="V31" s="7"/>
    </row>
    <row r="32" spans="1:22" s="5" customFormat="1" ht="12.75" hidden="1">
      <c r="A32" s="1" t="s">
        <v>9</v>
      </c>
      <c r="B32" s="1" t="s">
        <v>79</v>
      </c>
      <c r="C32" s="1">
        <v>1</v>
      </c>
      <c r="D32" s="1" t="s">
        <v>31</v>
      </c>
      <c r="E32" s="5" t="s">
        <v>83</v>
      </c>
      <c r="I32" s="11">
        <f>16060.958285235*1.0282</f>
        <v>16513.877308878626</v>
      </c>
      <c r="J32" s="11">
        <f>1.0282*'[1]TabStip_docenti esatta 02 03 04'!H183</f>
        <v>1321.114040507793</v>
      </c>
      <c r="K32" s="11">
        <f>1.0282*'[1]TabStip_docenti esatta 02 03 04'!I183</f>
        <v>8558.499506081569</v>
      </c>
      <c r="L32" s="11">
        <f>1.0282*'[1]TabStip_docenti esatta 02 03 04'!J183</f>
        <v>0</v>
      </c>
      <c r="M32" s="11">
        <f t="shared" si="0"/>
        <v>1486.2492791155348</v>
      </c>
      <c r="N32" s="11">
        <f t="shared" si="1"/>
        <v>713.2082921734641</v>
      </c>
      <c r="O32" s="11">
        <f t="shared" si="2"/>
        <v>28592.948426756986</v>
      </c>
      <c r="P32" s="11">
        <f t="shared" si="3"/>
        <v>2430.400616274344</v>
      </c>
      <c r="Q32" s="11">
        <f t="shared" si="4"/>
        <v>6919.493519275191</v>
      </c>
      <c r="R32" s="11">
        <f>(I32+J32)*18%*24.2%</f>
        <v>776.8922231792724</v>
      </c>
      <c r="S32" s="11">
        <f t="shared" si="5"/>
        <v>1413.4262694634426</v>
      </c>
      <c r="T32" s="12">
        <f t="shared" si="6"/>
        <v>40133.16105494924</v>
      </c>
      <c r="V32" s="7"/>
    </row>
    <row r="33" spans="1:22" s="5" customFormat="1" ht="12.75" hidden="1">
      <c r="A33" s="1" t="s">
        <v>9</v>
      </c>
      <c r="B33" s="1" t="s">
        <v>79</v>
      </c>
      <c r="C33" s="1">
        <v>1</v>
      </c>
      <c r="D33" s="1" t="s">
        <v>34</v>
      </c>
      <c r="E33" s="5" t="s">
        <v>84</v>
      </c>
      <c r="I33" s="11">
        <f>22065.011420925*1.0282</f>
        <v>22687.244742995084</v>
      </c>
      <c r="J33" s="11">
        <f>1.0282*'[1]TabStip_docenti esatta 02 03 04'!H184</f>
        <v>1814.977437329883</v>
      </c>
      <c r="K33" s="11">
        <f>1.0282*'[1]TabStip_docenti esatta 02 03 04'!I184</f>
        <v>8983.26915376249</v>
      </c>
      <c r="L33" s="11">
        <f>1.0282*'[1]TabStip_docenti esatta 02 03 04'!J184</f>
        <v>5554.854672466447</v>
      </c>
      <c r="M33" s="11">
        <f t="shared" si="0"/>
        <v>2041.851848360414</v>
      </c>
      <c r="N33" s="11">
        <f t="shared" si="1"/>
        <v>748.6057628135409</v>
      </c>
      <c r="O33" s="11">
        <f t="shared" si="2"/>
        <v>41830.803617727855</v>
      </c>
      <c r="P33" s="11">
        <f t="shared" si="3"/>
        <v>3555.6183075068675</v>
      </c>
      <c r="Q33" s="11">
        <f t="shared" si="4"/>
        <v>10123.054475490142</v>
      </c>
      <c r="R33" s="11"/>
      <c r="S33" s="11">
        <f t="shared" si="5"/>
        <v>1839.3657019862405</v>
      </c>
      <c r="T33" s="12">
        <f t="shared" si="6"/>
        <v>57348.84210271111</v>
      </c>
      <c r="V33" s="7"/>
    </row>
    <row r="34" spans="1:22" s="5" customFormat="1" ht="12.75" hidden="1">
      <c r="A34" s="1" t="s">
        <v>9</v>
      </c>
      <c r="B34" s="1" t="s">
        <v>79</v>
      </c>
      <c r="C34" s="1">
        <v>2</v>
      </c>
      <c r="D34" s="1" t="s">
        <v>31</v>
      </c>
      <c r="E34" s="5" t="s">
        <v>85</v>
      </c>
      <c r="I34" s="11">
        <f>16060.958285235*1.0282</f>
        <v>16513.877308878626</v>
      </c>
      <c r="J34" s="11">
        <f>1.0282*'[1]TabStip_docenti esatta 02 03 04'!H185</f>
        <v>2642.228081015586</v>
      </c>
      <c r="K34" s="11">
        <f>1.0282*'[1]TabStip_docenti esatta 02 03 04'!I185</f>
        <v>8558.499506081569</v>
      </c>
      <c r="L34" s="11">
        <f>1.0282*'[1]TabStip_docenti esatta 02 03 04'!J185</f>
        <v>0</v>
      </c>
      <c r="M34" s="11">
        <f t="shared" si="0"/>
        <v>1596.3421158245176</v>
      </c>
      <c r="N34" s="11">
        <f t="shared" si="1"/>
        <v>713.2082921734641</v>
      </c>
      <c r="O34" s="11">
        <f t="shared" si="2"/>
        <v>30024.155303973766</v>
      </c>
      <c r="P34" s="11">
        <f t="shared" si="3"/>
        <v>2552.05320083777</v>
      </c>
      <c r="Q34" s="11">
        <f t="shared" si="4"/>
        <v>7265.8455835616505</v>
      </c>
      <c r="R34" s="11">
        <f>(I34+J34)*18%*24.2%</f>
        <v>834.4399507837918</v>
      </c>
      <c r="S34" s="11">
        <f t="shared" si="5"/>
        <v>1494.7188200893556</v>
      </c>
      <c r="T34" s="12">
        <f t="shared" si="6"/>
        <v>42171.21285924634</v>
      </c>
      <c r="V34" s="7"/>
    </row>
    <row r="35" spans="1:22" s="5" customFormat="1" ht="12.75" hidden="1">
      <c r="A35" s="1" t="s">
        <v>9</v>
      </c>
      <c r="B35" s="1" t="s">
        <v>79</v>
      </c>
      <c r="C35" s="1">
        <v>2</v>
      </c>
      <c r="D35" s="1" t="s">
        <v>34</v>
      </c>
      <c r="E35" s="5" t="s">
        <v>86</v>
      </c>
      <c r="F35" s="5" t="s">
        <v>87</v>
      </c>
      <c r="I35" s="11">
        <f>22065.011420925*1.0282</f>
        <v>22687.244742995084</v>
      </c>
      <c r="J35" s="11">
        <f>1.0282*'[1]TabStip_docenti esatta 02 03 04'!H186</f>
        <v>3629.954874659766</v>
      </c>
      <c r="K35" s="11">
        <f>1.0282*'[1]TabStip_docenti esatta 02 03 04'!I186</f>
        <v>8983.26915376249</v>
      </c>
      <c r="L35" s="11">
        <f>1.0282*'[1]TabStip_docenti esatta 02 03 04'!J186</f>
        <v>5554.854672466447</v>
      </c>
      <c r="M35" s="11">
        <f t="shared" si="0"/>
        <v>2193.099968137904</v>
      </c>
      <c r="N35" s="11">
        <f t="shared" si="1"/>
        <v>748.6057628135409</v>
      </c>
      <c r="O35" s="11">
        <f t="shared" si="2"/>
        <v>43797.02917483523</v>
      </c>
      <c r="P35" s="11">
        <f t="shared" si="3"/>
        <v>3722.7474798609946</v>
      </c>
      <c r="Q35" s="11">
        <f t="shared" si="4"/>
        <v>10598.881060310125</v>
      </c>
      <c r="R35" s="11"/>
      <c r="S35" s="11">
        <f t="shared" si="5"/>
        <v>1951.0473136299395</v>
      </c>
      <c r="T35" s="12">
        <f t="shared" si="6"/>
        <v>60069.70502863629</v>
      </c>
      <c r="V35" s="7"/>
    </row>
    <row r="36" spans="1:22" s="5" customFormat="1" ht="12.75" hidden="1">
      <c r="A36" s="1" t="s">
        <v>9</v>
      </c>
      <c r="B36" s="1" t="s">
        <v>79</v>
      </c>
      <c r="C36" s="1">
        <v>3</v>
      </c>
      <c r="D36" s="1" t="s">
        <v>31</v>
      </c>
      <c r="E36" s="5" t="s">
        <v>88</v>
      </c>
      <c r="F36" s="5" t="s">
        <v>89</v>
      </c>
      <c r="I36" s="11">
        <f>16060.958285235*1.0282</f>
        <v>16513.877308878626</v>
      </c>
      <c r="J36" s="11">
        <f>1.0282*'[1]TabStip_docenti esatta 02 03 04'!H187</f>
        <v>3963.3421215233793</v>
      </c>
      <c r="K36" s="11">
        <f>1.0282*'[1]TabStip_docenti esatta 02 03 04'!I187</f>
        <v>8558.499506081569</v>
      </c>
      <c r="L36" s="11">
        <f>1.0282*'[1]TabStip_docenti esatta 02 03 04'!J187</f>
        <v>0</v>
      </c>
      <c r="M36" s="11">
        <f t="shared" si="0"/>
        <v>1706.4349525335003</v>
      </c>
      <c r="N36" s="11">
        <f t="shared" si="1"/>
        <v>713.2082921734641</v>
      </c>
      <c r="O36" s="11">
        <f t="shared" si="2"/>
        <v>31455.36218119054</v>
      </c>
      <c r="P36" s="11">
        <f t="shared" si="3"/>
        <v>2673.705785401196</v>
      </c>
      <c r="Q36" s="11">
        <f t="shared" si="4"/>
        <v>7612.197647848111</v>
      </c>
      <c r="R36" s="11">
        <f>(I36+J36)*18%*24.2%</f>
        <v>891.9876783883113</v>
      </c>
      <c r="S36" s="11">
        <f t="shared" si="5"/>
        <v>1576.0113707152682</v>
      </c>
      <c r="T36" s="12">
        <f t="shared" si="6"/>
        <v>44209.26466354342</v>
      </c>
      <c r="V36" s="7"/>
    </row>
    <row r="37" spans="1:22" s="5" customFormat="1" ht="12.75" hidden="1">
      <c r="A37" s="1" t="s">
        <v>9</v>
      </c>
      <c r="B37" s="1" t="s">
        <v>79</v>
      </c>
      <c r="C37" s="1">
        <v>3</v>
      </c>
      <c r="D37" s="1" t="s">
        <v>34</v>
      </c>
      <c r="E37" s="5" t="s">
        <v>90</v>
      </c>
      <c r="F37" s="5" t="s">
        <v>91</v>
      </c>
      <c r="I37" s="11">
        <f>22065.011420925*1.0282</f>
        <v>22687.244742995084</v>
      </c>
      <c r="J37" s="11">
        <f>1.0282*'[1]TabStip_docenti esatta 02 03 04'!H188</f>
        <v>5444.932311989649</v>
      </c>
      <c r="K37" s="11">
        <f>1.0282*'[1]TabStip_docenti esatta 02 03 04'!I188</f>
        <v>8983.26915376249</v>
      </c>
      <c r="L37" s="11">
        <f>1.0282*'[1]TabStip_docenti esatta 02 03 04'!J188</f>
        <v>6348.399219648158</v>
      </c>
      <c r="M37" s="11">
        <f t="shared" si="0"/>
        <v>2344.3480879153944</v>
      </c>
      <c r="N37" s="11">
        <f t="shared" si="1"/>
        <v>748.6057628135409</v>
      </c>
      <c r="O37" s="11">
        <f t="shared" si="2"/>
        <v>46556.799279124316</v>
      </c>
      <c r="P37" s="11">
        <f t="shared" si="3"/>
        <v>3957.327938725567</v>
      </c>
      <c r="Q37" s="11">
        <f t="shared" si="4"/>
        <v>11266.745425548082</v>
      </c>
      <c r="R37" s="11"/>
      <c r="S37" s="11">
        <f t="shared" si="5"/>
        <v>2062.728925273638</v>
      </c>
      <c r="T37" s="12">
        <f t="shared" si="6"/>
        <v>63843.601568671605</v>
      </c>
      <c r="V37" s="7"/>
    </row>
    <row r="38" spans="1:22" s="5" customFormat="1" ht="12.75" hidden="1">
      <c r="A38" s="1" t="s">
        <v>9</v>
      </c>
      <c r="B38" s="1" t="s">
        <v>79</v>
      </c>
      <c r="C38" s="1">
        <v>4</v>
      </c>
      <c r="D38" s="1" t="s">
        <v>31</v>
      </c>
      <c r="E38" s="5" t="s">
        <v>92</v>
      </c>
      <c r="I38" s="11">
        <f>16060.958285235*1.0282</f>
        <v>16513.877308878626</v>
      </c>
      <c r="J38" s="11">
        <f>1.0282*'[1]TabStip_docenti esatta 02 03 04'!H189</f>
        <v>5284.456162031172</v>
      </c>
      <c r="K38" s="11">
        <f>1.0282*'[1]TabStip_docenti esatta 02 03 04'!I189</f>
        <v>8558.499506081569</v>
      </c>
      <c r="L38" s="11">
        <f>1.0282*'[1]TabStip_docenti esatta 02 03 04'!J189</f>
        <v>0</v>
      </c>
      <c r="M38" s="11">
        <f t="shared" si="0"/>
        <v>1816.527789242483</v>
      </c>
      <c r="N38" s="11">
        <f t="shared" si="1"/>
        <v>713.2082921734641</v>
      </c>
      <c r="O38" s="11">
        <f t="shared" si="2"/>
        <v>32886.569058407316</v>
      </c>
      <c r="P38" s="11">
        <f t="shared" si="3"/>
        <v>2795.358369964622</v>
      </c>
      <c r="Q38" s="11">
        <f t="shared" si="4"/>
        <v>7958.549712134571</v>
      </c>
      <c r="R38" s="11">
        <f>(I38+J38)*18%*24.2%</f>
        <v>949.5354059928308</v>
      </c>
      <c r="S38" s="11">
        <f t="shared" si="5"/>
        <v>1657.3039213411807</v>
      </c>
      <c r="T38" s="12">
        <f t="shared" si="6"/>
        <v>46247.316467840516</v>
      </c>
      <c r="V38" s="7"/>
    </row>
    <row r="39" spans="1:22" s="5" customFormat="1" ht="12.75" hidden="1">
      <c r="A39" s="1" t="s">
        <v>9</v>
      </c>
      <c r="B39" s="1" t="s">
        <v>79</v>
      </c>
      <c r="C39" s="1">
        <v>4</v>
      </c>
      <c r="D39" s="1" t="s">
        <v>34</v>
      </c>
      <c r="E39" s="5" t="s">
        <v>93</v>
      </c>
      <c r="F39" s="5" t="s">
        <v>94</v>
      </c>
      <c r="I39" s="11">
        <f>22065.011420925*1.0282</f>
        <v>22687.244742995084</v>
      </c>
      <c r="J39" s="11">
        <f>1.0282*'[1]TabStip_docenti esatta 02 03 04'!H190</f>
        <v>7259.909749319532</v>
      </c>
      <c r="K39" s="11">
        <f>1.0282*'[1]TabStip_docenti esatta 02 03 04'!I190</f>
        <v>8983.26915376249</v>
      </c>
      <c r="L39" s="11">
        <f>1.0282*'[1]TabStip_docenti esatta 02 03 04'!J190</f>
        <v>6348.399219648158</v>
      </c>
      <c r="M39" s="11">
        <f t="shared" si="0"/>
        <v>2495.596207692885</v>
      </c>
      <c r="N39" s="11">
        <f t="shared" si="1"/>
        <v>748.6057628135409</v>
      </c>
      <c r="O39" s="11">
        <f t="shared" si="2"/>
        <v>48523.024836231685</v>
      </c>
      <c r="P39" s="11">
        <f t="shared" si="3"/>
        <v>4124.457111079693</v>
      </c>
      <c r="Q39" s="11">
        <f t="shared" si="4"/>
        <v>11742.572010368067</v>
      </c>
      <c r="R39" s="11"/>
      <c r="S39" s="11">
        <f t="shared" si="5"/>
        <v>2174.410536917337</v>
      </c>
      <c r="T39" s="12">
        <f t="shared" si="6"/>
        <v>66564.46449459677</v>
      </c>
      <c r="V39" s="7"/>
    </row>
    <row r="40" spans="1:22" s="5" customFormat="1" ht="12.75" hidden="1">
      <c r="A40" s="1" t="s">
        <v>9</v>
      </c>
      <c r="B40" s="1" t="s">
        <v>79</v>
      </c>
      <c r="C40" s="1">
        <v>5</v>
      </c>
      <c r="D40" s="1" t="s">
        <v>31</v>
      </c>
      <c r="E40" s="5" t="s">
        <v>95</v>
      </c>
      <c r="I40" s="11">
        <f>16060.958285235*1.0282</f>
        <v>16513.877308878626</v>
      </c>
      <c r="J40" s="11">
        <f>1.0282*'[1]TabStip_docenti esatta 02 03 04'!H191</f>
        <v>6605.5702025389655</v>
      </c>
      <c r="K40" s="11">
        <f>1.0282*'[1]TabStip_docenti esatta 02 03 04'!I191</f>
        <v>8558.499506081569</v>
      </c>
      <c r="L40" s="11">
        <f>1.0282*'[1]TabStip_docenti esatta 02 03 04'!J191</f>
        <v>0</v>
      </c>
      <c r="M40" s="11">
        <f t="shared" si="0"/>
        <v>1926.6206259514659</v>
      </c>
      <c r="N40" s="11">
        <f t="shared" si="1"/>
        <v>713.2082921734641</v>
      </c>
      <c r="O40" s="11">
        <f t="shared" si="2"/>
        <v>34317.775935624086</v>
      </c>
      <c r="P40" s="11">
        <f t="shared" si="3"/>
        <v>2917.010954528047</v>
      </c>
      <c r="Q40" s="11">
        <f t="shared" si="4"/>
        <v>8304.901776421028</v>
      </c>
      <c r="R40" s="11">
        <f>(I40+J40)*18%*24.2%</f>
        <v>1007.0831335973501</v>
      </c>
      <c r="S40" s="11">
        <f t="shared" si="5"/>
        <v>1738.5964719670937</v>
      </c>
      <c r="T40" s="12">
        <f t="shared" si="6"/>
        <v>48285.36827213761</v>
      </c>
      <c r="V40" s="7"/>
    </row>
    <row r="41" spans="1:22" s="5" customFormat="1" ht="12.75" hidden="1">
      <c r="A41" s="1" t="s">
        <v>9</v>
      </c>
      <c r="B41" s="1" t="s">
        <v>79</v>
      </c>
      <c r="C41" s="1">
        <v>5</v>
      </c>
      <c r="D41" s="1" t="s">
        <v>34</v>
      </c>
      <c r="E41" s="5" t="s">
        <v>96</v>
      </c>
      <c r="F41" s="5" t="s">
        <v>97</v>
      </c>
      <c r="I41" s="11">
        <f>22065.011420925*1.0282</f>
        <v>22687.244742995084</v>
      </c>
      <c r="J41" s="11">
        <f>1.0282*'[1]TabStip_docenti esatta 02 03 04'!H192</f>
        <v>9074.887186649417</v>
      </c>
      <c r="K41" s="11">
        <f>1.0282*'[1]TabStip_docenti esatta 02 03 04'!I192</f>
        <v>8983.26915376249</v>
      </c>
      <c r="L41" s="11">
        <f>1.0282*'[1]TabStip_docenti esatta 02 03 04'!J192</f>
        <v>7141.954477378485</v>
      </c>
      <c r="M41" s="11">
        <f t="shared" si="0"/>
        <v>2646.844327470375</v>
      </c>
      <c r="N41" s="11">
        <f t="shared" si="1"/>
        <v>748.6057628135409</v>
      </c>
      <c r="O41" s="11">
        <f t="shared" si="2"/>
        <v>51282.80565106939</v>
      </c>
      <c r="P41" s="11">
        <f t="shared" si="3"/>
        <v>4359.038480340899</v>
      </c>
      <c r="Q41" s="11">
        <f t="shared" si="4"/>
        <v>12410.438967558794</v>
      </c>
      <c r="R41" s="11"/>
      <c r="S41" s="11">
        <f t="shared" si="5"/>
        <v>2286.092148561036</v>
      </c>
      <c r="T41" s="12">
        <f t="shared" si="6"/>
        <v>70338.37524753012</v>
      </c>
      <c r="V41" s="7"/>
    </row>
    <row r="42" spans="1:22" s="5" customFormat="1" ht="12.75" hidden="1">
      <c r="A42" s="1" t="s">
        <v>9</v>
      </c>
      <c r="B42" s="1" t="s">
        <v>79</v>
      </c>
      <c r="C42" s="1">
        <v>6</v>
      </c>
      <c r="D42" s="1" t="s">
        <v>31</v>
      </c>
      <c r="E42" s="5" t="s">
        <v>98</v>
      </c>
      <c r="F42" s="5" t="s">
        <v>99</v>
      </c>
      <c r="I42" s="11">
        <f>16060.958285235*1.0282</f>
        <v>16513.877308878626</v>
      </c>
      <c r="J42" s="11">
        <f>1.0282*'[1]TabStip_docenti esatta 02 03 04'!H193</f>
        <v>7926.684243046759</v>
      </c>
      <c r="K42" s="11">
        <f>1.0282*'[1]TabStip_docenti esatta 02 03 04'!I193</f>
        <v>8558.499506081569</v>
      </c>
      <c r="L42" s="11">
        <f>1.0282*'[1]TabStip_docenti esatta 02 03 04'!J193</f>
        <v>0</v>
      </c>
      <c r="M42" s="11">
        <f t="shared" si="0"/>
        <v>2036.7134626604486</v>
      </c>
      <c r="N42" s="11">
        <f t="shared" si="1"/>
        <v>713.2082921734641</v>
      </c>
      <c r="O42" s="11">
        <f t="shared" si="2"/>
        <v>35748.98281284086</v>
      </c>
      <c r="P42" s="11">
        <f t="shared" si="3"/>
        <v>3038.663539091473</v>
      </c>
      <c r="Q42" s="11">
        <f t="shared" si="4"/>
        <v>8651.253840707488</v>
      </c>
      <c r="R42" s="11">
        <f>(I42+J42)*18%*24.2%</f>
        <v>1064.6308612018697</v>
      </c>
      <c r="S42" s="11">
        <f t="shared" si="5"/>
        <v>1819.8890225930068</v>
      </c>
      <c r="T42" s="12">
        <f t="shared" si="6"/>
        <v>50323.420076434704</v>
      </c>
      <c r="V42" s="7"/>
    </row>
    <row r="43" spans="1:22" s="5" customFormat="1" ht="12.75" hidden="1">
      <c r="A43" s="1" t="s">
        <v>9</v>
      </c>
      <c r="B43" s="1" t="s">
        <v>79</v>
      </c>
      <c r="C43" s="1">
        <v>6</v>
      </c>
      <c r="D43" s="1" t="s">
        <v>34</v>
      </c>
      <c r="E43" s="5" t="s">
        <v>100</v>
      </c>
      <c r="F43" s="5" t="s">
        <v>101</v>
      </c>
      <c r="I43" s="11">
        <f aca="true" t="shared" si="8" ref="I43:I51">22065.011420925*1.0282</f>
        <v>22687.244742995084</v>
      </c>
      <c r="J43" s="11">
        <f>1.0282*'[1]TabStip_docenti esatta 02 03 04'!H194</f>
        <v>10889.864623979298</v>
      </c>
      <c r="K43" s="11">
        <f>1.0282*'[1]TabStip_docenti esatta 02 03 04'!I194</f>
        <v>8983.26915376249</v>
      </c>
      <c r="L43" s="11">
        <f>1.0282*'[1]TabStip_docenti esatta 02 03 04'!J194</f>
        <v>7935.499024560197</v>
      </c>
      <c r="M43" s="11">
        <f t="shared" si="0"/>
        <v>2798.0924472478655</v>
      </c>
      <c r="N43" s="11">
        <f t="shared" si="1"/>
        <v>748.6057628135409</v>
      </c>
      <c r="O43" s="11">
        <f t="shared" si="2"/>
        <v>54042.57575535848</v>
      </c>
      <c r="P43" s="11">
        <f t="shared" si="3"/>
        <v>4593.61893920547</v>
      </c>
      <c r="Q43" s="11">
        <f t="shared" si="4"/>
        <v>13078.303332796751</v>
      </c>
      <c r="R43" s="11"/>
      <c r="S43" s="11">
        <f t="shared" si="5"/>
        <v>2397.7737602047346</v>
      </c>
      <c r="T43" s="12">
        <f t="shared" si="6"/>
        <v>74112.27178756543</v>
      </c>
      <c r="V43" s="7"/>
    </row>
    <row r="44" spans="1:22" s="5" customFormat="1" ht="12.75" hidden="1">
      <c r="A44" s="1" t="s">
        <v>9</v>
      </c>
      <c r="B44" s="1" t="s">
        <v>79</v>
      </c>
      <c r="C44" s="1">
        <v>7</v>
      </c>
      <c r="D44" s="1" t="s">
        <v>34</v>
      </c>
      <c r="E44" s="5" t="s">
        <v>102</v>
      </c>
      <c r="F44" s="5" t="s">
        <v>103</v>
      </c>
      <c r="I44" s="11">
        <f t="shared" si="8"/>
        <v>22687.244742995084</v>
      </c>
      <c r="J44" s="11">
        <f>1.0282*'[1]TabStip_docenti esatta 02 03 04'!H195</f>
        <v>12904.50810866458</v>
      </c>
      <c r="K44" s="11">
        <f>1.0282*'[1]TabStip_docenti esatta 02 03 04'!I195</f>
        <v>8983.26915376249</v>
      </c>
      <c r="L44" s="11">
        <f>1.0282*'[1]TabStip_docenti esatta 02 03 04'!J195</f>
        <v>7935.499024560197</v>
      </c>
      <c r="M44" s="11">
        <f t="shared" si="0"/>
        <v>2965.979404304972</v>
      </c>
      <c r="N44" s="11">
        <f t="shared" si="1"/>
        <v>748.6057628135409</v>
      </c>
      <c r="O44" s="11">
        <f t="shared" si="2"/>
        <v>56225.10619710086</v>
      </c>
      <c r="P44" s="11">
        <f t="shared" si="3"/>
        <v>4779.134026753573</v>
      </c>
      <c r="Q44" s="11">
        <f t="shared" si="4"/>
        <v>13606.475699698409</v>
      </c>
      <c r="R44" s="11"/>
      <c r="S44" s="11">
        <f t="shared" si="5"/>
        <v>2521.741489295702</v>
      </c>
      <c r="T44" s="12">
        <f t="shared" si="6"/>
        <v>77132.45741284854</v>
      </c>
      <c r="V44" s="7"/>
    </row>
    <row r="45" spans="1:22" s="5" customFormat="1" ht="12.75" hidden="1">
      <c r="A45" s="1" t="s">
        <v>9</v>
      </c>
      <c r="B45" s="1" t="s">
        <v>79</v>
      </c>
      <c r="C45" s="1">
        <v>8</v>
      </c>
      <c r="D45" s="1" t="s">
        <v>34</v>
      </c>
      <c r="E45" s="5" t="s">
        <v>104</v>
      </c>
      <c r="F45" s="5" t="s">
        <v>105</v>
      </c>
      <c r="I45" s="11">
        <f t="shared" si="8"/>
        <v>22687.244742995084</v>
      </c>
      <c r="J45" s="11">
        <f>1.0282*'[1]TabStip_docenti esatta 02 03 04'!H196</f>
        <v>14919.130172252622</v>
      </c>
      <c r="K45" s="11">
        <f>1.0282*'[1]TabStip_docenti esatta 02 03 04'!I196</f>
        <v>8983.26915376249</v>
      </c>
      <c r="L45" s="11">
        <f>1.0282*'[1]TabStip_docenti esatta 02 03 04'!J196</f>
        <v>7935.499024560197</v>
      </c>
      <c r="M45" s="11">
        <f t="shared" si="0"/>
        <v>3133.8645762706424</v>
      </c>
      <c r="N45" s="11">
        <f t="shared" si="1"/>
        <v>748.6057628135409</v>
      </c>
      <c r="O45" s="11">
        <f t="shared" si="2"/>
        <v>58407.61343265458</v>
      </c>
      <c r="P45" s="11">
        <f t="shared" si="3"/>
        <v>4964.647141775639</v>
      </c>
      <c r="Q45" s="11">
        <f t="shared" si="4"/>
        <v>14134.642450702408</v>
      </c>
      <c r="R45" s="11"/>
      <c r="S45" s="11">
        <f t="shared" si="5"/>
        <v>2645.7079002751534</v>
      </c>
      <c r="T45" s="12">
        <f t="shared" si="6"/>
        <v>80152.61092540779</v>
      </c>
      <c r="V45" s="7"/>
    </row>
    <row r="46" spans="1:22" s="5" customFormat="1" ht="12.75" hidden="1">
      <c r="A46" s="1" t="s">
        <v>9</v>
      </c>
      <c r="B46" s="1" t="s">
        <v>79</v>
      </c>
      <c r="C46" s="1">
        <v>9</v>
      </c>
      <c r="D46" s="1" t="s">
        <v>34</v>
      </c>
      <c r="E46" s="5" t="s">
        <v>106</v>
      </c>
      <c r="F46" s="5" t="s">
        <v>107</v>
      </c>
      <c r="I46" s="11">
        <f t="shared" si="8"/>
        <v>22687.244742995084</v>
      </c>
      <c r="J46" s="11">
        <f>1.0282*'[1]TabStip_docenti esatta 02 03 04'!H197</f>
        <v>16933.762946389288</v>
      </c>
      <c r="K46" s="11">
        <f>1.0282*'[1]TabStip_docenti esatta 02 03 04'!I197</f>
        <v>8983.26915376249</v>
      </c>
      <c r="L46" s="11">
        <f>1.0282*'[1]TabStip_docenti esatta 02 03 04'!J197</f>
        <v>7935.499024560197</v>
      </c>
      <c r="M46" s="11">
        <f t="shared" si="0"/>
        <v>3301.750640782031</v>
      </c>
      <c r="N46" s="11">
        <f t="shared" si="1"/>
        <v>748.6057628135409</v>
      </c>
      <c r="O46" s="11">
        <f t="shared" si="2"/>
        <v>60590.13227130263</v>
      </c>
      <c r="P46" s="11">
        <f t="shared" si="3"/>
        <v>5150.161243060724</v>
      </c>
      <c r="Q46" s="11">
        <f t="shared" si="4"/>
        <v>14662.812009655237</v>
      </c>
      <c r="R46" s="11"/>
      <c r="S46" s="11">
        <f t="shared" si="5"/>
        <v>2769.6749703103624</v>
      </c>
      <c r="T46" s="12">
        <f t="shared" si="6"/>
        <v>83172.78049432894</v>
      </c>
      <c r="V46" s="7"/>
    </row>
    <row r="47" spans="1:22" s="5" customFormat="1" ht="12.75" hidden="1">
      <c r="A47" s="1" t="s">
        <v>9</v>
      </c>
      <c r="B47" s="1" t="s">
        <v>79</v>
      </c>
      <c r="C47" s="1">
        <v>10</v>
      </c>
      <c r="D47" s="1" t="s">
        <v>34</v>
      </c>
      <c r="E47" s="5" t="s">
        <v>108</v>
      </c>
      <c r="F47" s="5" t="s">
        <v>109</v>
      </c>
      <c r="I47" s="11">
        <f t="shared" si="8"/>
        <v>22687.244742995084</v>
      </c>
      <c r="J47" s="11">
        <f>1.0282*'[1]TabStip_docenti esatta 02 03 04'!H198</f>
        <v>18948.38500997733</v>
      </c>
      <c r="K47" s="11">
        <f>1.0282*'[1]TabStip_docenti esatta 02 03 04'!I198</f>
        <v>8983.26915376249</v>
      </c>
      <c r="L47" s="11">
        <f>1.0282*'[1]TabStip_docenti esatta 02 03 04'!J198</f>
        <v>7935.499024560197</v>
      </c>
      <c r="M47" s="11">
        <f t="shared" si="0"/>
        <v>3469.635812747701</v>
      </c>
      <c r="N47" s="11">
        <f t="shared" si="1"/>
        <v>748.6057628135409</v>
      </c>
      <c r="O47" s="11">
        <f t="shared" si="2"/>
        <v>62772.639506856336</v>
      </c>
      <c r="P47" s="11">
        <f t="shared" si="3"/>
        <v>5335.674358082789</v>
      </c>
      <c r="Q47" s="11">
        <f t="shared" si="4"/>
        <v>15190.978760659234</v>
      </c>
      <c r="R47" s="11"/>
      <c r="S47" s="11">
        <f t="shared" si="5"/>
        <v>2893.6413812898136</v>
      </c>
      <c r="T47" s="12">
        <f t="shared" si="6"/>
        <v>86192.93400688816</v>
      </c>
      <c r="V47" s="7"/>
    </row>
    <row r="48" spans="1:22" s="5" customFormat="1" ht="12.75" hidden="1">
      <c r="A48" s="1" t="s">
        <v>9</v>
      </c>
      <c r="B48" s="1" t="s">
        <v>79</v>
      </c>
      <c r="C48" s="1">
        <v>11</v>
      </c>
      <c r="D48" s="1" t="s">
        <v>34</v>
      </c>
      <c r="E48" s="5" t="s">
        <v>110</v>
      </c>
      <c r="F48" s="5" t="s">
        <v>111</v>
      </c>
      <c r="I48" s="11">
        <f t="shared" si="8"/>
        <v>22687.244742995084</v>
      </c>
      <c r="J48" s="11">
        <f>1.0282*'[1]TabStip_docenti esatta 02 03 04'!H199</f>
        <v>20963.017784113992</v>
      </c>
      <c r="K48" s="11">
        <f>1.0282*'[1]TabStip_docenti esatta 02 03 04'!I199</f>
        <v>8983.26915376249</v>
      </c>
      <c r="L48" s="11">
        <f>1.0282*'[1]TabStip_docenti esatta 02 03 04'!J199</f>
        <v>7935.499024560197</v>
      </c>
      <c r="M48" s="11">
        <f t="shared" si="0"/>
        <v>3637.52187725909</v>
      </c>
      <c r="N48" s="11">
        <f t="shared" si="1"/>
        <v>748.6057628135409</v>
      </c>
      <c r="O48" s="11">
        <f t="shared" si="2"/>
        <v>64955.158345504395</v>
      </c>
      <c r="P48" s="11">
        <f t="shared" si="3"/>
        <v>5521.188459367873</v>
      </c>
      <c r="Q48" s="11">
        <f t="shared" si="4"/>
        <v>15719.148319612064</v>
      </c>
      <c r="R48" s="11"/>
      <c r="S48" s="11">
        <f t="shared" si="5"/>
        <v>3017.6084513250225</v>
      </c>
      <c r="T48" s="12">
        <f t="shared" si="6"/>
        <v>89213.10357580936</v>
      </c>
      <c r="V48" s="7"/>
    </row>
    <row r="49" spans="1:22" s="5" customFormat="1" ht="12.75" hidden="1">
      <c r="A49" s="1" t="s">
        <v>9</v>
      </c>
      <c r="B49" s="1" t="s">
        <v>79</v>
      </c>
      <c r="C49" s="1">
        <v>12</v>
      </c>
      <c r="D49" s="1" t="s">
        <v>34</v>
      </c>
      <c r="E49" s="5" t="s">
        <v>112</v>
      </c>
      <c r="F49" s="5" t="s">
        <v>113</v>
      </c>
      <c r="I49" s="11">
        <f t="shared" si="8"/>
        <v>22687.244742995084</v>
      </c>
      <c r="J49" s="11">
        <f>1.0282*'[1]TabStip_docenti esatta 02 03 04'!H200</f>
        <v>22977.639847702034</v>
      </c>
      <c r="K49" s="11">
        <f>1.0282*'[1]TabStip_docenti esatta 02 03 04'!I200</f>
        <v>8983.26915376249</v>
      </c>
      <c r="L49" s="11">
        <f>1.0282*'[1]TabStip_docenti esatta 02 03 04'!J200</f>
        <v>7935.499024560197</v>
      </c>
      <c r="M49" s="11">
        <f t="shared" si="0"/>
        <v>3805.4070492247597</v>
      </c>
      <c r="N49" s="11">
        <f t="shared" si="1"/>
        <v>748.6057628135409</v>
      </c>
      <c r="O49" s="11">
        <f t="shared" si="2"/>
        <v>67137.66558105811</v>
      </c>
      <c r="P49" s="11">
        <f t="shared" si="3"/>
        <v>5706.701574389939</v>
      </c>
      <c r="Q49" s="11">
        <f t="shared" si="4"/>
        <v>16247.315070616063</v>
      </c>
      <c r="R49" s="11"/>
      <c r="S49" s="11">
        <f t="shared" si="5"/>
        <v>3141.5748623044738</v>
      </c>
      <c r="T49" s="12">
        <f t="shared" si="6"/>
        <v>92233.2570883686</v>
      </c>
      <c r="V49" s="7"/>
    </row>
    <row r="50" spans="1:22" s="5" customFormat="1" ht="12.75" hidden="1">
      <c r="A50" s="1" t="s">
        <v>9</v>
      </c>
      <c r="B50" s="1" t="s">
        <v>79</v>
      </c>
      <c r="C50" s="1">
        <v>13</v>
      </c>
      <c r="D50" s="1" t="s">
        <v>34</v>
      </c>
      <c r="E50" s="5" t="s">
        <v>114</v>
      </c>
      <c r="F50" s="5" t="s">
        <v>115</v>
      </c>
      <c r="I50" s="11">
        <f t="shared" si="8"/>
        <v>22687.244742995084</v>
      </c>
      <c r="J50" s="11">
        <f>1.0282*'[1]TabStip_docenti esatta 02 03 04'!H201</f>
        <v>24992.272621838696</v>
      </c>
      <c r="K50" s="11">
        <f>1.0282*'[1]TabStip_docenti esatta 02 03 04'!I201</f>
        <v>8983.26915376249</v>
      </c>
      <c r="L50" s="11">
        <f>1.0282*'[1]TabStip_docenti esatta 02 03 04'!J201</f>
        <v>7935.499024560197</v>
      </c>
      <c r="M50" s="11">
        <f t="shared" si="0"/>
        <v>3973.2931137361484</v>
      </c>
      <c r="N50" s="11">
        <f t="shared" si="1"/>
        <v>748.6057628135409</v>
      </c>
      <c r="O50" s="11">
        <f t="shared" si="2"/>
        <v>69320.18441970616</v>
      </c>
      <c r="P50" s="11">
        <f t="shared" si="3"/>
        <v>5892.215675675024</v>
      </c>
      <c r="Q50" s="11">
        <f t="shared" si="4"/>
        <v>16775.48462956889</v>
      </c>
      <c r="R50" s="11"/>
      <c r="S50" s="11">
        <f t="shared" si="5"/>
        <v>3265.5419323396827</v>
      </c>
      <c r="T50" s="12">
        <f t="shared" si="6"/>
        <v>95253.42665728975</v>
      </c>
      <c r="V50" s="7"/>
    </row>
    <row r="51" spans="1:22" s="5" customFormat="1" ht="12.75" hidden="1">
      <c r="A51" s="1" t="s">
        <v>9</v>
      </c>
      <c r="B51" s="1" t="s">
        <v>79</v>
      </c>
      <c r="C51" s="1">
        <v>14</v>
      </c>
      <c r="D51" s="1" t="s">
        <v>34</v>
      </c>
      <c r="E51" s="5" t="s">
        <v>116</v>
      </c>
      <c r="F51" s="5" t="s">
        <v>117</v>
      </c>
      <c r="I51" s="15">
        <f t="shared" si="8"/>
        <v>22687.244742995084</v>
      </c>
      <c r="J51" s="15">
        <f>1.0282*'[1]TabStip_docenti esatta 02 03 04'!H202</f>
        <v>27006.894685426738</v>
      </c>
      <c r="K51" s="15">
        <f>1.0282*'[1]TabStip_docenti esatta 02 03 04'!I202</f>
        <v>8983.26915376249</v>
      </c>
      <c r="L51" s="15">
        <f>1.0282*'[1]TabStip_docenti esatta 02 03 04'!J202</f>
        <v>7935.499024560197</v>
      </c>
      <c r="M51" s="15">
        <f t="shared" si="0"/>
        <v>4141.178285701819</v>
      </c>
      <c r="N51" s="15">
        <f t="shared" si="1"/>
        <v>748.6057628135409</v>
      </c>
      <c r="O51" s="15">
        <f t="shared" si="2"/>
        <v>71502.69165525989</v>
      </c>
      <c r="P51" s="15">
        <f t="shared" si="3"/>
        <v>6077.72879069709</v>
      </c>
      <c r="Q51" s="15">
        <f t="shared" si="4"/>
        <v>17303.65138057289</v>
      </c>
      <c r="R51" s="15"/>
      <c r="S51" s="15">
        <f t="shared" si="5"/>
        <v>3389.508343319134</v>
      </c>
      <c r="T51" s="16">
        <f t="shared" si="6"/>
        <v>98273.580169849</v>
      </c>
      <c r="V51" s="7"/>
    </row>
    <row r="52" spans="1:22" s="5" customFormat="1" ht="12.75" hidden="1">
      <c r="A52" s="17" t="s">
        <v>8</v>
      </c>
      <c r="B52" s="17" t="s">
        <v>118</v>
      </c>
      <c r="C52" s="17" t="s">
        <v>119</v>
      </c>
      <c r="D52" s="17"/>
      <c r="E52" s="18" t="s">
        <v>120</v>
      </c>
      <c r="F52" s="18" t="s">
        <v>121</v>
      </c>
      <c r="G52" s="19"/>
      <c r="H52" s="19"/>
      <c r="I52" s="11">
        <f>10717.350786135*1.0282</f>
        <v>11019.580078304009</v>
      </c>
      <c r="J52" s="11">
        <f>1.0282*'[1]TabStip_docenti esatta 02 03 04'!H203</f>
        <v>0</v>
      </c>
      <c r="K52" s="11">
        <f>1.0282*'[1]TabStip_docenti esatta 02 03 04'!I203</f>
        <v>8175.9401305081265</v>
      </c>
      <c r="L52" s="11">
        <f>1.0282*'[1]TabStip_docenti esatta 02 03 04'!J203</f>
        <v>0</v>
      </c>
      <c r="M52" s="11">
        <f t="shared" si="0"/>
        <v>918.2983398586674</v>
      </c>
      <c r="N52" s="11">
        <f t="shared" si="1"/>
        <v>681.3283442090105</v>
      </c>
      <c r="O52" s="11">
        <f t="shared" si="2"/>
        <v>20795.146892879813</v>
      </c>
      <c r="P52" s="11">
        <f t="shared" si="3"/>
        <v>1767.587485894784</v>
      </c>
      <c r="Q52" s="11">
        <f t="shared" si="4"/>
        <v>5032.425548076915</v>
      </c>
      <c r="R52" s="11"/>
      <c r="S52" s="11">
        <f t="shared" si="5"/>
        <v>979.92720377</v>
      </c>
      <c r="T52" s="12">
        <f t="shared" si="6"/>
        <v>28575.087130621512</v>
      </c>
      <c r="V52" s="7"/>
    </row>
    <row r="53" spans="1:22" s="5" customFormat="1" ht="12.75" hidden="1">
      <c r="A53" s="1" t="s">
        <v>8</v>
      </c>
      <c r="B53" s="1" t="s">
        <v>118</v>
      </c>
      <c r="C53" s="1" t="s">
        <v>122</v>
      </c>
      <c r="D53" s="1"/>
      <c r="E53" s="5" t="s">
        <v>120</v>
      </c>
      <c r="I53" s="11">
        <f>14268.713288382*1.0282</f>
        <v>14671.091003114372</v>
      </c>
      <c r="J53" s="11">
        <f>1.0282*'[1]TabStip_docenti esatta 02 03 04'!H204</f>
        <v>0</v>
      </c>
      <c r="K53" s="11">
        <f>1.0282*'[1]TabStip_docenti esatta 02 03 04'!I204</f>
        <v>6205.029957943948</v>
      </c>
      <c r="L53" s="11">
        <f>1.0282*'[1]TabStip_docenti esatta 02 03 04'!J204</f>
        <v>3332.909590315283</v>
      </c>
      <c r="M53" s="11">
        <f t="shared" si="0"/>
        <v>1222.5909169261977</v>
      </c>
      <c r="N53" s="11">
        <f t="shared" si="1"/>
        <v>517.0858298286623</v>
      </c>
      <c r="O53" s="11">
        <f t="shared" si="2"/>
        <v>25948.707298128462</v>
      </c>
      <c r="P53" s="11">
        <f t="shared" si="3"/>
        <v>2205.640120340919</v>
      </c>
      <c r="Q53" s="11">
        <f t="shared" si="4"/>
        <v>6279.587166147087</v>
      </c>
      <c r="R53" s="11"/>
      <c r="S53" s="11">
        <f t="shared" si="5"/>
        <v>1131.850839105595</v>
      </c>
      <c r="T53" s="12">
        <f t="shared" si="6"/>
        <v>35565.78542372206</v>
      </c>
      <c r="V53" s="7">
        <f>20383.87612626*70%</f>
        <v>14268.713288381998</v>
      </c>
    </row>
    <row r="54" spans="1:22" s="5" customFormat="1" ht="12.75" hidden="1">
      <c r="A54" s="1" t="s">
        <v>8</v>
      </c>
      <c r="B54" s="1" t="s">
        <v>123</v>
      </c>
      <c r="C54" s="1">
        <v>0</v>
      </c>
      <c r="D54" s="1" t="s">
        <v>31</v>
      </c>
      <c r="E54" s="5" t="s">
        <v>124</v>
      </c>
      <c r="F54" s="5" t="s">
        <v>125</v>
      </c>
      <c r="I54" s="11">
        <f>11557.91322507*1.0282</f>
        <v>11883.846378016975</v>
      </c>
      <c r="J54" s="11">
        <f>1.0282*'[1]TabStip_docenti esatta 02 03 04'!H205</f>
        <v>0</v>
      </c>
      <c r="K54" s="11">
        <f>1.0282*'[1]TabStip_docenti esatta 02 03 04'!I205</f>
        <v>8252.349184356073</v>
      </c>
      <c r="L54" s="11">
        <f>1.0282*'[1]TabStip_docenti esatta 02 03 04'!J205</f>
        <v>0</v>
      </c>
      <c r="M54" s="11">
        <f t="shared" si="0"/>
        <v>990.3205315014146</v>
      </c>
      <c r="N54" s="11">
        <f t="shared" si="1"/>
        <v>687.6957653630061</v>
      </c>
      <c r="O54" s="11">
        <f t="shared" si="2"/>
        <v>21814.211859237465</v>
      </c>
      <c r="P54" s="11">
        <f t="shared" si="3"/>
        <v>1854.2080080351845</v>
      </c>
      <c r="Q54" s="11">
        <f t="shared" si="4"/>
        <v>5279.039269935467</v>
      </c>
      <c r="R54" s="11">
        <f>(I54+J54)*18%*24.2%</f>
        <v>517.6603482264194</v>
      </c>
      <c r="S54" s="11">
        <f t="shared" si="5"/>
        <v>1035.9294123470706</v>
      </c>
      <c r="T54" s="12">
        <f t="shared" si="6"/>
        <v>30501.048897781606</v>
      </c>
      <c r="V54" s="7"/>
    </row>
    <row r="55" spans="1:22" s="5" customFormat="1" ht="12.75" hidden="1">
      <c r="A55" s="1" t="s">
        <v>8</v>
      </c>
      <c r="B55" s="1" t="s">
        <v>123</v>
      </c>
      <c r="C55" s="1">
        <v>0</v>
      </c>
      <c r="D55" s="1" t="s">
        <v>34</v>
      </c>
      <c r="E55" s="5" t="s">
        <v>126</v>
      </c>
      <c r="F55" s="5" t="s">
        <v>127</v>
      </c>
      <c r="I55" s="11">
        <f>15760.75667013*1.0282</f>
        <v>16205.210008227667</v>
      </c>
      <c r="J55" s="11">
        <f>1.0282*'[1]TabStip_docenti esatta 02 03 04'!H206</f>
        <v>0</v>
      </c>
      <c r="K55" s="11">
        <f>1.0282*'[1]TabStip_docenti esatta 02 03 04'!I206</f>
        <v>8473.929014185946</v>
      </c>
      <c r="L55" s="11">
        <f>1.0282*'[1]TabStip_docenti esatta 02 03 04'!J206</f>
        <v>3332.9085192604207</v>
      </c>
      <c r="M55" s="11">
        <f t="shared" si="0"/>
        <v>1350.4341673523056</v>
      </c>
      <c r="N55" s="11">
        <f t="shared" si="1"/>
        <v>706.1607511821621</v>
      </c>
      <c r="O55" s="11">
        <f t="shared" si="2"/>
        <v>30068.642460208503</v>
      </c>
      <c r="P55" s="11">
        <f t="shared" si="3"/>
        <v>2555.8346091177227</v>
      </c>
      <c r="Q55" s="11">
        <f t="shared" si="4"/>
        <v>7276.611475370458</v>
      </c>
      <c r="R55" s="11"/>
      <c r="S55" s="11">
        <f t="shared" si="5"/>
        <v>1310.0180483766876</v>
      </c>
      <c r="T55" s="12">
        <f t="shared" si="6"/>
        <v>41211.106593073375</v>
      </c>
      <c r="V55" s="7"/>
    </row>
    <row r="56" spans="1:22" s="5" customFormat="1" ht="12.75" hidden="1">
      <c r="A56" s="1" t="s">
        <v>8</v>
      </c>
      <c r="B56" s="1" t="s">
        <v>123</v>
      </c>
      <c r="C56" s="1">
        <v>1</v>
      </c>
      <c r="D56" s="1" t="s">
        <v>31</v>
      </c>
      <c r="E56" s="5" t="s">
        <v>128</v>
      </c>
      <c r="I56" s="11">
        <f>11557.91322507*1.0282</f>
        <v>11883.846378016975</v>
      </c>
      <c r="J56" s="11">
        <f>1.0282*'[1]TabStip_docenti esatta 02 03 04'!H207</f>
        <v>950.7111376169161</v>
      </c>
      <c r="K56" s="11">
        <f>1.0282*'[1]TabStip_docenti esatta 02 03 04'!I207</f>
        <v>8252.349184356073</v>
      </c>
      <c r="L56" s="11">
        <f>1.0282*'[1]TabStip_docenti esatta 02 03 04'!J207</f>
        <v>0</v>
      </c>
      <c r="M56" s="11">
        <f t="shared" si="0"/>
        <v>1069.5464596361576</v>
      </c>
      <c r="N56" s="11">
        <f t="shared" si="1"/>
        <v>687.6957653630061</v>
      </c>
      <c r="O56" s="11">
        <f t="shared" si="2"/>
        <v>22844.148924989127</v>
      </c>
      <c r="P56" s="11">
        <f t="shared" si="3"/>
        <v>1941.7526586240756</v>
      </c>
      <c r="Q56" s="11">
        <f t="shared" si="4"/>
        <v>5528.284039847369</v>
      </c>
      <c r="R56" s="11">
        <f>(I56+J56)*18%*24.2%</f>
        <v>559.0733253810123</v>
      </c>
      <c r="S56" s="11">
        <f t="shared" si="5"/>
        <v>1094.4298376817649</v>
      </c>
      <c r="T56" s="12">
        <f t="shared" si="6"/>
        <v>31967.68878652335</v>
      </c>
      <c r="V56" s="7"/>
    </row>
    <row r="57" spans="1:22" s="5" customFormat="1" ht="12.75" hidden="1">
      <c r="A57" s="1" t="s">
        <v>8</v>
      </c>
      <c r="B57" s="1" t="s">
        <v>123</v>
      </c>
      <c r="C57" s="1">
        <v>1</v>
      </c>
      <c r="D57" s="1" t="s">
        <v>34</v>
      </c>
      <c r="E57" s="5" t="s">
        <v>129</v>
      </c>
      <c r="F57" s="5" t="s">
        <v>130</v>
      </c>
      <c r="I57" s="11">
        <f>15760.75667013*1.0282</f>
        <v>16205.210008227667</v>
      </c>
      <c r="J57" s="11">
        <f>1.0282*'[1]TabStip_docenti esatta 02 03 04'!H208</f>
        <v>1296.4155153923793</v>
      </c>
      <c r="K57" s="11">
        <f>1.0282*'[1]TabStip_docenti esatta 02 03 04'!I208</f>
        <v>8473.929014185946</v>
      </c>
      <c r="L57" s="11">
        <f>1.0282*'[1]TabStip_docenti esatta 02 03 04'!J208</f>
        <v>3888.389702287617</v>
      </c>
      <c r="M57" s="11">
        <f t="shared" si="0"/>
        <v>1458.4687936350037</v>
      </c>
      <c r="N57" s="11">
        <f t="shared" si="1"/>
        <v>706.1607511821621</v>
      </c>
      <c r="O57" s="11">
        <f t="shared" si="2"/>
        <v>32028.573784910775</v>
      </c>
      <c r="P57" s="11">
        <f t="shared" si="3"/>
        <v>2722.4287717174157</v>
      </c>
      <c r="Q57" s="11">
        <f t="shared" si="4"/>
        <v>7750.914855948407</v>
      </c>
      <c r="R57" s="11"/>
      <c r="S57" s="11">
        <f t="shared" si="5"/>
        <v>1389.7908164238318</v>
      </c>
      <c r="T57" s="12">
        <f t="shared" si="6"/>
        <v>43891.70822900043</v>
      </c>
      <c r="V57" s="7"/>
    </row>
    <row r="58" spans="1:22" s="5" customFormat="1" ht="12.75" hidden="1">
      <c r="A58" s="1" t="s">
        <v>8</v>
      </c>
      <c r="B58" s="1" t="s">
        <v>123</v>
      </c>
      <c r="C58" s="1">
        <v>2</v>
      </c>
      <c r="D58" s="1" t="s">
        <v>31</v>
      </c>
      <c r="E58" s="5" t="s">
        <v>131</v>
      </c>
      <c r="I58" s="11">
        <f>11557.91322507*1.0282</f>
        <v>11883.846378016975</v>
      </c>
      <c r="J58" s="11">
        <f>1.0282*'[1]TabStip_docenti esatta 02 03 04'!H209</f>
        <v>1901.4222752338321</v>
      </c>
      <c r="K58" s="11">
        <f>1.0282*'[1]TabStip_docenti esatta 02 03 04'!I209</f>
        <v>8252.349184356073</v>
      </c>
      <c r="L58" s="11">
        <f>1.0282*'[1]TabStip_docenti esatta 02 03 04'!J209</f>
        <v>0</v>
      </c>
      <c r="M58" s="11">
        <f t="shared" si="0"/>
        <v>1148.7723877709007</v>
      </c>
      <c r="N58" s="11">
        <f t="shared" si="1"/>
        <v>687.6957653630061</v>
      </c>
      <c r="O58" s="11">
        <f t="shared" si="2"/>
        <v>23874.085990740783</v>
      </c>
      <c r="P58" s="11">
        <f t="shared" si="3"/>
        <v>2029.2973092129666</v>
      </c>
      <c r="Q58" s="11">
        <f t="shared" si="4"/>
        <v>5777.528809759268</v>
      </c>
      <c r="R58" s="11">
        <f>(I58+J58)*18%*24.2%</f>
        <v>600.4863025356051</v>
      </c>
      <c r="S58" s="11">
        <f t="shared" si="5"/>
        <v>1152.930263016459</v>
      </c>
      <c r="T58" s="12">
        <f t="shared" si="6"/>
        <v>33434.32867526508</v>
      </c>
      <c r="V58" s="7"/>
    </row>
    <row r="59" spans="1:22" s="5" customFormat="1" ht="12.75" hidden="1">
      <c r="A59" s="1" t="s">
        <v>8</v>
      </c>
      <c r="B59" s="1" t="s">
        <v>123</v>
      </c>
      <c r="C59" s="1">
        <v>2</v>
      </c>
      <c r="D59" s="1" t="s">
        <v>34</v>
      </c>
      <c r="E59" s="5" t="s">
        <v>132</v>
      </c>
      <c r="F59" s="5" t="s">
        <v>133</v>
      </c>
      <c r="I59" s="11">
        <f>15760.75667013*1.0282</f>
        <v>16205.210008227667</v>
      </c>
      <c r="J59" s="11">
        <f>1.0282*'[1]TabStip_docenti esatta 02 03 04'!H210</f>
        <v>2592.8310307847587</v>
      </c>
      <c r="K59" s="11">
        <f>1.0282*'[1]TabStip_docenti esatta 02 03 04'!I210</f>
        <v>8473.929014185946</v>
      </c>
      <c r="L59" s="11">
        <f>1.0282*'[1]TabStip_docenti esatta 02 03 04'!J210</f>
        <v>3888.389702287617</v>
      </c>
      <c r="M59" s="11">
        <f t="shared" si="0"/>
        <v>1566.5034199177019</v>
      </c>
      <c r="N59" s="11">
        <f t="shared" si="1"/>
        <v>706.1607511821621</v>
      </c>
      <c r="O59" s="11">
        <f t="shared" si="2"/>
        <v>33433.023926585854</v>
      </c>
      <c r="P59" s="11">
        <f t="shared" si="3"/>
        <v>2841.807033759798</v>
      </c>
      <c r="Q59" s="11">
        <f t="shared" si="4"/>
        <v>8090.791790233776</v>
      </c>
      <c r="R59" s="11"/>
      <c r="S59" s="11">
        <f t="shared" si="5"/>
        <v>1469.5635844709761</v>
      </c>
      <c r="T59" s="12">
        <f t="shared" si="6"/>
        <v>45835.1863350504</v>
      </c>
      <c r="V59" s="7"/>
    </row>
    <row r="60" spans="1:22" s="5" customFormat="1" ht="12.75" hidden="1">
      <c r="A60" s="1" t="s">
        <v>8</v>
      </c>
      <c r="B60" s="1" t="s">
        <v>123</v>
      </c>
      <c r="C60" s="1">
        <v>3</v>
      </c>
      <c r="D60" s="1" t="s">
        <v>31</v>
      </c>
      <c r="E60" s="5" t="s">
        <v>134</v>
      </c>
      <c r="I60" s="11">
        <f>11557.91322507*1.0282</f>
        <v>11883.846378016975</v>
      </c>
      <c r="J60" s="11">
        <f>1.0282*'[1]TabStip_docenti esatta 02 03 04'!H211</f>
        <v>2852.1334128507483</v>
      </c>
      <c r="K60" s="11">
        <f>1.0282*'[1]TabStip_docenti esatta 02 03 04'!I211</f>
        <v>8252.349184356073</v>
      </c>
      <c r="L60" s="11">
        <f>1.0282*'[1]TabStip_docenti esatta 02 03 04'!J211</f>
        <v>0</v>
      </c>
      <c r="M60" s="11">
        <f t="shared" si="0"/>
        <v>1227.9983159056435</v>
      </c>
      <c r="N60" s="11">
        <f t="shared" si="1"/>
        <v>687.6957653630061</v>
      </c>
      <c r="O60" s="11">
        <f t="shared" si="2"/>
        <v>24904.023056492446</v>
      </c>
      <c r="P60" s="11">
        <f t="shared" si="3"/>
        <v>2116.8419598018577</v>
      </c>
      <c r="Q60" s="11">
        <f t="shared" si="4"/>
        <v>6026.773579671172</v>
      </c>
      <c r="R60" s="11">
        <f>(I60+J60)*18%*24.2%</f>
        <v>641.8992796901979</v>
      </c>
      <c r="S60" s="11">
        <f t="shared" si="5"/>
        <v>1211.4306883511533</v>
      </c>
      <c r="T60" s="12">
        <f t="shared" si="6"/>
        <v>34900.96856400683</v>
      </c>
      <c r="V60" s="7"/>
    </row>
    <row r="61" spans="1:22" s="5" customFormat="1" ht="12.75" hidden="1">
      <c r="A61" s="1" t="s">
        <v>8</v>
      </c>
      <c r="B61" s="1" t="s">
        <v>123</v>
      </c>
      <c r="C61" s="1">
        <v>3</v>
      </c>
      <c r="D61" s="1" t="s">
        <v>34</v>
      </c>
      <c r="E61" s="5" t="s">
        <v>135</v>
      </c>
      <c r="F61" s="5" t="s">
        <v>136</v>
      </c>
      <c r="I61" s="11">
        <f>15760.75667013*1.0282</f>
        <v>16205.210008227667</v>
      </c>
      <c r="J61" s="11">
        <f>1.0282*'[1]TabStip_docenti esatta 02 03 04'!H212</f>
        <v>3889.246546177138</v>
      </c>
      <c r="K61" s="11">
        <f>1.0282*'[1]TabStip_docenti esatta 02 03 04'!I212</f>
        <v>8473.929014185946</v>
      </c>
      <c r="L61" s="11">
        <f>1.0282*'[1]TabStip_docenti esatta 02 03 04'!J212</f>
        <v>4443.881595863433</v>
      </c>
      <c r="M61" s="11">
        <f t="shared" si="0"/>
        <v>1674.5380462004005</v>
      </c>
      <c r="N61" s="11">
        <f t="shared" si="1"/>
        <v>706.1607511821621</v>
      </c>
      <c r="O61" s="11">
        <f t="shared" si="2"/>
        <v>35392.96596183675</v>
      </c>
      <c r="P61" s="11">
        <f t="shared" si="3"/>
        <v>3008.402106756124</v>
      </c>
      <c r="Q61" s="11">
        <f t="shared" si="4"/>
        <v>8565.097762764493</v>
      </c>
      <c r="R61" s="11"/>
      <c r="S61" s="11">
        <f t="shared" si="5"/>
        <v>1549.3363525181207</v>
      </c>
      <c r="T61" s="12">
        <f t="shared" si="6"/>
        <v>48515.802183875494</v>
      </c>
      <c r="V61" s="7"/>
    </row>
    <row r="62" spans="1:22" s="5" customFormat="1" ht="12.75" hidden="1">
      <c r="A62" s="1" t="s">
        <v>8</v>
      </c>
      <c r="B62" s="1" t="s">
        <v>123</v>
      </c>
      <c r="C62" s="1">
        <v>4</v>
      </c>
      <c r="D62" s="1" t="s">
        <v>31</v>
      </c>
      <c r="E62" s="5" t="s">
        <v>137</v>
      </c>
      <c r="F62" s="5" t="s">
        <v>138</v>
      </c>
      <c r="I62" s="11">
        <f>11557.91322507*1.0282</f>
        <v>11883.846378016975</v>
      </c>
      <c r="J62" s="11">
        <f>1.0282*'[1]TabStip_docenti esatta 02 03 04'!H213</f>
        <v>3802.8445504676642</v>
      </c>
      <c r="K62" s="11">
        <f>1.0282*'[1]TabStip_docenti esatta 02 03 04'!I213</f>
        <v>8252.349184356073</v>
      </c>
      <c r="L62" s="11">
        <f>1.0282*'[1]TabStip_docenti esatta 02 03 04'!J213</f>
        <v>0</v>
      </c>
      <c r="M62" s="11">
        <f t="shared" si="0"/>
        <v>1307.2242440403866</v>
      </c>
      <c r="N62" s="11">
        <f t="shared" si="1"/>
        <v>687.6957653630061</v>
      </c>
      <c r="O62" s="11">
        <f t="shared" si="2"/>
        <v>25933.9601222441</v>
      </c>
      <c r="P62" s="11">
        <f t="shared" si="3"/>
        <v>2204.3866103907485</v>
      </c>
      <c r="Q62" s="11">
        <f t="shared" si="4"/>
        <v>6276.018349583072</v>
      </c>
      <c r="R62" s="11">
        <f>(I62+J62)*18%*24.2%</f>
        <v>683.3122568447909</v>
      </c>
      <c r="S62" s="11">
        <f t="shared" si="5"/>
        <v>1269.9311136858475</v>
      </c>
      <c r="T62" s="12">
        <f t="shared" si="6"/>
        <v>36367.608452748565</v>
      </c>
      <c r="V62" s="7"/>
    </row>
    <row r="63" spans="1:22" s="5" customFormat="1" ht="12.75" hidden="1">
      <c r="A63" s="1" t="s">
        <v>8</v>
      </c>
      <c r="B63" s="1" t="s">
        <v>123</v>
      </c>
      <c r="C63" s="1">
        <v>4</v>
      </c>
      <c r="D63" s="1" t="s">
        <v>34</v>
      </c>
      <c r="E63" s="5" t="s">
        <v>139</v>
      </c>
      <c r="F63" s="5" t="s">
        <v>140</v>
      </c>
      <c r="I63" s="11">
        <f>15760.75667013*1.0282</f>
        <v>16205.210008227667</v>
      </c>
      <c r="J63" s="11">
        <f>1.0282*'[1]TabStip_docenti esatta 02 03 04'!H214</f>
        <v>5185.662061569517</v>
      </c>
      <c r="K63" s="11">
        <f>1.0282*'[1]TabStip_docenti esatta 02 03 04'!I214</f>
        <v>8473.929014185946</v>
      </c>
      <c r="L63" s="11">
        <f>1.0282*'[1]TabStip_docenti esatta 02 03 04'!J214</f>
        <v>4443.881595863433</v>
      </c>
      <c r="M63" s="11">
        <f t="shared" si="0"/>
        <v>1782.5726724830986</v>
      </c>
      <c r="N63" s="11">
        <f t="shared" si="1"/>
        <v>706.1607511821621</v>
      </c>
      <c r="O63" s="11">
        <f t="shared" si="2"/>
        <v>36797.41610351182</v>
      </c>
      <c r="P63" s="11">
        <f t="shared" si="3"/>
        <v>3127.780368798505</v>
      </c>
      <c r="Q63" s="11">
        <f t="shared" si="4"/>
        <v>8904.97469704986</v>
      </c>
      <c r="R63" s="11"/>
      <c r="S63" s="11">
        <f t="shared" si="5"/>
        <v>1629.1091205652651</v>
      </c>
      <c r="T63" s="12">
        <f t="shared" si="6"/>
        <v>50459.28028992545</v>
      </c>
      <c r="V63" s="7"/>
    </row>
    <row r="64" spans="1:22" s="5" customFormat="1" ht="12.75" hidden="1">
      <c r="A64" s="1" t="s">
        <v>8</v>
      </c>
      <c r="B64" s="1" t="s">
        <v>123</v>
      </c>
      <c r="C64" s="1">
        <v>5</v>
      </c>
      <c r="D64" s="1" t="s">
        <v>31</v>
      </c>
      <c r="E64" s="5" t="s">
        <v>141</v>
      </c>
      <c r="I64" s="11">
        <f>11557.91322507*1.0282</f>
        <v>11883.846378016975</v>
      </c>
      <c r="J64" s="11">
        <f>1.0282*'[1]TabStip_docenti esatta 02 03 04'!H215</f>
        <v>4753.55568808458</v>
      </c>
      <c r="K64" s="11">
        <f>1.0282*'[1]TabStip_docenti esatta 02 03 04'!I215</f>
        <v>8252.349184356073</v>
      </c>
      <c r="L64" s="11">
        <f>1.0282*'[1]TabStip_docenti esatta 02 03 04'!J215</f>
        <v>0</v>
      </c>
      <c r="M64" s="11">
        <f t="shared" si="0"/>
        <v>1386.4501721751294</v>
      </c>
      <c r="N64" s="11">
        <f t="shared" si="1"/>
        <v>687.6957653630061</v>
      </c>
      <c r="O64" s="11">
        <f t="shared" si="2"/>
        <v>26963.89718799576</v>
      </c>
      <c r="P64" s="11">
        <f t="shared" si="3"/>
        <v>2291.93126097964</v>
      </c>
      <c r="Q64" s="11">
        <f t="shared" si="4"/>
        <v>6525.2631194949745</v>
      </c>
      <c r="R64" s="11">
        <f>(I64+J64)*18%*24.2%</f>
        <v>724.7252339993836</v>
      </c>
      <c r="S64" s="11">
        <f t="shared" si="5"/>
        <v>1328.4315390205418</v>
      </c>
      <c r="T64" s="12">
        <f t="shared" si="6"/>
        <v>37834.2483414903</v>
      </c>
      <c r="V64" s="7"/>
    </row>
    <row r="65" spans="1:22" s="5" customFormat="1" ht="12.75" hidden="1">
      <c r="A65" s="1" t="s">
        <v>8</v>
      </c>
      <c r="B65" s="1" t="s">
        <v>123</v>
      </c>
      <c r="C65" s="1">
        <v>5</v>
      </c>
      <c r="D65" s="1" t="s">
        <v>34</v>
      </c>
      <c r="E65" s="5" t="s">
        <v>142</v>
      </c>
      <c r="F65" s="5" t="s">
        <v>143</v>
      </c>
      <c r="I65" s="11">
        <f>15760.75667013*1.0282</f>
        <v>16205.210008227667</v>
      </c>
      <c r="J65" s="11">
        <f>1.0282*'[1]TabStip_docenti esatta 02 03 04'!H216</f>
        <v>6482.077576961896</v>
      </c>
      <c r="K65" s="11">
        <f>1.0282*'[1]TabStip_docenti esatta 02 03 04'!I216</f>
        <v>8473.929014185946</v>
      </c>
      <c r="L65" s="11">
        <f>1.0282*'[1]TabStip_docenti esatta 02 03 04'!J216</f>
        <v>4999.362778890631</v>
      </c>
      <c r="M65" s="11">
        <f t="shared" si="0"/>
        <v>1890.607298765797</v>
      </c>
      <c r="N65" s="11">
        <f t="shared" si="1"/>
        <v>706.1607511821621</v>
      </c>
      <c r="O65" s="11">
        <f t="shared" si="2"/>
        <v>38757.347428214096</v>
      </c>
      <c r="P65" s="11">
        <f t="shared" si="3"/>
        <v>3294.374531398198</v>
      </c>
      <c r="Q65" s="11">
        <f t="shared" si="4"/>
        <v>9379.27807762781</v>
      </c>
      <c r="R65" s="11"/>
      <c r="S65" s="11">
        <f t="shared" si="5"/>
        <v>1708.8818886124093</v>
      </c>
      <c r="T65" s="12">
        <f t="shared" si="6"/>
        <v>53139.88192585251</v>
      </c>
      <c r="V65" s="7"/>
    </row>
    <row r="66" spans="1:22" s="5" customFormat="1" ht="12.75" hidden="1">
      <c r="A66" s="1" t="s">
        <v>8</v>
      </c>
      <c r="B66" s="1" t="s">
        <v>123</v>
      </c>
      <c r="C66" s="1">
        <v>6</v>
      </c>
      <c r="D66" s="1" t="s">
        <v>31</v>
      </c>
      <c r="E66" s="5" t="s">
        <v>144</v>
      </c>
      <c r="F66" s="5" t="s">
        <v>145</v>
      </c>
      <c r="I66" s="11">
        <f>11557.91322507*1.0282</f>
        <v>11883.846378016975</v>
      </c>
      <c r="J66" s="11">
        <f>1.0282*'[1]TabStip_docenti esatta 02 03 04'!H217</f>
        <v>5704.266825701497</v>
      </c>
      <c r="K66" s="11">
        <f>1.0282*'[1]TabStip_docenti esatta 02 03 04'!I217</f>
        <v>8252.349184356073</v>
      </c>
      <c r="L66" s="11">
        <f>1.0282*'[1]TabStip_docenti esatta 02 03 04'!J217</f>
        <v>0</v>
      </c>
      <c r="M66" s="11">
        <f t="shared" si="0"/>
        <v>1465.6761003098727</v>
      </c>
      <c r="N66" s="11">
        <f t="shared" si="1"/>
        <v>687.6957653630061</v>
      </c>
      <c r="O66" s="11">
        <f t="shared" si="2"/>
        <v>27993.834253747424</v>
      </c>
      <c r="P66" s="11">
        <f t="shared" si="3"/>
        <v>2379.475911568531</v>
      </c>
      <c r="Q66" s="11">
        <f t="shared" si="4"/>
        <v>6774.5078894068765</v>
      </c>
      <c r="R66" s="11">
        <f>(I66+J66)*18%*24.2%</f>
        <v>766.1382111539766</v>
      </c>
      <c r="S66" s="11">
        <f t="shared" si="5"/>
        <v>1386.931964355236</v>
      </c>
      <c r="T66" s="12">
        <f t="shared" si="6"/>
        <v>39300.88823023205</v>
      </c>
      <c r="V66" s="7"/>
    </row>
    <row r="67" spans="1:22" s="5" customFormat="1" ht="12.75" hidden="1">
      <c r="A67" s="1" t="s">
        <v>8</v>
      </c>
      <c r="B67" s="1" t="s">
        <v>123</v>
      </c>
      <c r="C67" s="1">
        <v>6</v>
      </c>
      <c r="D67" s="1" t="s">
        <v>34</v>
      </c>
      <c r="E67" s="5" t="s">
        <v>146</v>
      </c>
      <c r="F67" s="5" t="s">
        <v>147</v>
      </c>
      <c r="I67" s="11">
        <f aca="true" t="shared" si="9" ref="I67:I75">15760.75667013*1.0282</f>
        <v>16205.210008227667</v>
      </c>
      <c r="J67" s="11">
        <f>1.0282*'[1]TabStip_docenti esatta 02 03 04'!H218</f>
        <v>7778.493092354276</v>
      </c>
      <c r="K67" s="11">
        <f>1.0282*'[1]TabStip_docenti esatta 02 03 04'!I218</f>
        <v>8473.929014185946</v>
      </c>
      <c r="L67" s="11">
        <f>1.0282*'[1]TabStip_docenti esatta 02 03 04'!J218</f>
        <v>5554.854672466447</v>
      </c>
      <c r="M67" s="11">
        <f t="shared" si="0"/>
        <v>1998.6419250484953</v>
      </c>
      <c r="N67" s="11">
        <f t="shared" si="1"/>
        <v>706.1607511821621</v>
      </c>
      <c r="O67" s="11">
        <f t="shared" si="2"/>
        <v>40717.289463465</v>
      </c>
      <c r="P67" s="11">
        <f t="shared" si="3"/>
        <v>3460.969604394525</v>
      </c>
      <c r="Q67" s="11">
        <f t="shared" si="4"/>
        <v>9853.58405015853</v>
      </c>
      <c r="R67" s="11"/>
      <c r="S67" s="11">
        <f t="shared" si="5"/>
        <v>1788.654656659554</v>
      </c>
      <c r="T67" s="12">
        <f t="shared" si="6"/>
        <v>55820.497774677606</v>
      </c>
      <c r="V67" s="7"/>
    </row>
    <row r="68" spans="1:22" s="5" customFormat="1" ht="12.75" hidden="1">
      <c r="A68" s="1" t="s">
        <v>8</v>
      </c>
      <c r="B68" s="1" t="s">
        <v>123</v>
      </c>
      <c r="C68" s="1">
        <v>7</v>
      </c>
      <c r="D68" s="1" t="s">
        <v>34</v>
      </c>
      <c r="E68" s="5" t="s">
        <v>148</v>
      </c>
      <c r="F68" s="5" t="s">
        <v>149</v>
      </c>
      <c r="I68" s="11">
        <f t="shared" si="9"/>
        <v>16205.210008227667</v>
      </c>
      <c r="J68" s="11">
        <f>1.0282*'[1]TabStip_docenti esatta 02 03 04'!H219</f>
        <v>9217.51956260864</v>
      </c>
      <c r="K68" s="11">
        <f>1.0282*'[1]TabStip_docenti esatta 02 03 04'!I219</f>
        <v>8473.929014185946</v>
      </c>
      <c r="L68" s="11">
        <f>1.0282*'[1]TabStip_docenti esatta 02 03 04'!J219</f>
        <v>5554.854672466447</v>
      </c>
      <c r="M68" s="11">
        <f aca="true" t="shared" si="10" ref="M68:M75">(I68+J68)/12</f>
        <v>2118.5607975696926</v>
      </c>
      <c r="N68" s="11">
        <f aca="true" t="shared" si="11" ref="N68:N75">K68/12</f>
        <v>706.1607511821621</v>
      </c>
      <c r="O68" s="11">
        <f aca="true" t="shared" si="12" ref="O68:O75">SUM(I68:N68)</f>
        <v>42276.23480624056</v>
      </c>
      <c r="P68" s="11">
        <f aca="true" t="shared" si="13" ref="P68:P75">O68*8.5/100</f>
        <v>3593.479958530447</v>
      </c>
      <c r="Q68" s="11">
        <f aca="true" t="shared" si="14" ref="Q68:Q75">O68*24.2/100</f>
        <v>10230.848823110215</v>
      </c>
      <c r="R68" s="11"/>
      <c r="S68" s="11">
        <f aca="true" t="shared" si="15" ref="S68:S75">(I68+J68+M68)*80%*7.1%+(K68+N68)*80%*60%*7.1%</f>
        <v>1877.202752129206</v>
      </c>
      <c r="T68" s="12">
        <f aca="true" t="shared" si="16" ref="T68:T75">O68+P68+Q68+R68+S68</f>
        <v>57977.76634001043</v>
      </c>
      <c r="V68" s="7"/>
    </row>
    <row r="69" spans="1:22" s="5" customFormat="1" ht="12.75" hidden="1">
      <c r="A69" s="1" t="s">
        <v>8</v>
      </c>
      <c r="B69" s="1" t="s">
        <v>123</v>
      </c>
      <c r="C69" s="1">
        <v>8</v>
      </c>
      <c r="D69" s="1" t="s">
        <v>34</v>
      </c>
      <c r="E69" s="5" t="s">
        <v>150</v>
      </c>
      <c r="F69" s="5" t="s">
        <v>151</v>
      </c>
      <c r="I69" s="11">
        <f t="shared" si="9"/>
        <v>16205.210008227667</v>
      </c>
      <c r="J69" s="11">
        <f>1.0282*'[1]TabStip_docenti esatta 02 03 04'!H220</f>
        <v>10656.546032863002</v>
      </c>
      <c r="K69" s="11">
        <f>1.0282*'[1]TabStip_docenti esatta 02 03 04'!I220</f>
        <v>8473.929014185946</v>
      </c>
      <c r="L69" s="11">
        <f>1.0282*'[1]TabStip_docenti esatta 02 03 04'!J220</f>
        <v>5554.854672466447</v>
      </c>
      <c r="M69" s="11">
        <f t="shared" si="10"/>
        <v>2238.4796700908887</v>
      </c>
      <c r="N69" s="11">
        <f t="shared" si="11"/>
        <v>706.1607511821621</v>
      </c>
      <c r="O69" s="11">
        <f t="shared" si="12"/>
        <v>43835.180149016116</v>
      </c>
      <c r="P69" s="11">
        <f t="shared" si="13"/>
        <v>3725.99031266637</v>
      </c>
      <c r="Q69" s="11">
        <f t="shared" si="14"/>
        <v>10608.1135960619</v>
      </c>
      <c r="R69" s="11"/>
      <c r="S69" s="11">
        <f t="shared" si="15"/>
        <v>1965.7508475988575</v>
      </c>
      <c r="T69" s="12">
        <f t="shared" si="16"/>
        <v>60135.034905343244</v>
      </c>
      <c r="V69" s="7"/>
    </row>
    <row r="70" spans="1:22" s="5" customFormat="1" ht="12.75" hidden="1">
      <c r="A70" s="1" t="s">
        <v>8</v>
      </c>
      <c r="B70" s="1" t="s">
        <v>123</v>
      </c>
      <c r="C70" s="1">
        <v>9</v>
      </c>
      <c r="D70" s="1" t="s">
        <v>34</v>
      </c>
      <c r="E70" s="5" t="s">
        <v>152</v>
      </c>
      <c r="F70" s="5" t="s">
        <v>153</v>
      </c>
      <c r="I70" s="11">
        <f t="shared" si="9"/>
        <v>16205.210008227667</v>
      </c>
      <c r="J70" s="11">
        <f>1.0282*'[1]TabStip_docenti esatta 02 03 04'!H221</f>
        <v>12095.56179256875</v>
      </c>
      <c r="K70" s="11">
        <f>1.0282*'[1]TabStip_docenti esatta 02 03 04'!I221</f>
        <v>8473.929014185946</v>
      </c>
      <c r="L70" s="11">
        <f>1.0282*'[1]TabStip_docenti esatta 02 03 04'!J221</f>
        <v>5554.854672466447</v>
      </c>
      <c r="M70" s="11">
        <f t="shared" si="10"/>
        <v>2358.397650066368</v>
      </c>
      <c r="N70" s="11">
        <f t="shared" si="11"/>
        <v>706.1607511821621</v>
      </c>
      <c r="O70" s="11">
        <f t="shared" si="12"/>
        <v>45394.11388869734</v>
      </c>
      <c r="P70" s="11">
        <f t="shared" si="13"/>
        <v>3858.4996805392743</v>
      </c>
      <c r="Q70" s="11">
        <f t="shared" si="14"/>
        <v>10985.375561064757</v>
      </c>
      <c r="R70" s="11"/>
      <c r="S70" s="11">
        <f t="shared" si="15"/>
        <v>2054.2982840127506</v>
      </c>
      <c r="T70" s="12">
        <f t="shared" si="16"/>
        <v>62292.28741431412</v>
      </c>
      <c r="V70" s="7"/>
    </row>
    <row r="71" spans="1:22" s="5" customFormat="1" ht="12.75" hidden="1">
      <c r="A71" s="1" t="s">
        <v>8</v>
      </c>
      <c r="B71" s="1" t="s">
        <v>123</v>
      </c>
      <c r="C71" s="1">
        <v>10</v>
      </c>
      <c r="D71" s="1" t="s">
        <v>34</v>
      </c>
      <c r="E71" s="5" t="s">
        <v>154</v>
      </c>
      <c r="F71" s="5" t="s">
        <v>155</v>
      </c>
      <c r="I71" s="11">
        <f t="shared" si="9"/>
        <v>16205.210008227667</v>
      </c>
      <c r="J71" s="11">
        <f>1.0282*'[1]TabStip_docenti esatta 02 03 04'!H222</f>
        <v>13534.588262823112</v>
      </c>
      <c r="K71" s="11">
        <f>1.0282*'[1]TabStip_docenti esatta 02 03 04'!I222</f>
        <v>8473.929014185946</v>
      </c>
      <c r="L71" s="11">
        <f>1.0282*'[1]TabStip_docenti esatta 02 03 04'!J222</f>
        <v>5554.854672466447</v>
      </c>
      <c r="M71" s="11">
        <f t="shared" si="10"/>
        <v>2478.316522587565</v>
      </c>
      <c r="N71" s="11">
        <f t="shared" si="11"/>
        <v>706.1607511821621</v>
      </c>
      <c r="O71" s="11">
        <f t="shared" si="12"/>
        <v>46953.0592314729</v>
      </c>
      <c r="P71" s="11">
        <f t="shared" si="13"/>
        <v>3991.0100346751965</v>
      </c>
      <c r="Q71" s="11">
        <f t="shared" si="14"/>
        <v>11362.640334016442</v>
      </c>
      <c r="R71" s="11"/>
      <c r="S71" s="11">
        <f t="shared" si="15"/>
        <v>2142.846379482403</v>
      </c>
      <c r="T71" s="12">
        <f t="shared" si="16"/>
        <v>64449.55597964694</v>
      </c>
      <c r="V71" s="7"/>
    </row>
    <row r="72" spans="1:22" s="5" customFormat="1" ht="12.75" hidden="1">
      <c r="A72" s="1" t="s">
        <v>8</v>
      </c>
      <c r="B72" s="1" t="s">
        <v>123</v>
      </c>
      <c r="C72" s="1">
        <v>11</v>
      </c>
      <c r="D72" s="1" t="s">
        <v>34</v>
      </c>
      <c r="E72" s="5" t="s">
        <v>156</v>
      </c>
      <c r="F72" s="5" t="s">
        <v>157</v>
      </c>
      <c r="I72" s="11">
        <f t="shared" si="9"/>
        <v>16205.210008227667</v>
      </c>
      <c r="J72" s="11">
        <f>1.0282*'[1]TabStip_docenti esatta 02 03 04'!H223</f>
        <v>14973.614733077477</v>
      </c>
      <c r="K72" s="11">
        <f>1.0282*'[1]TabStip_docenti esatta 02 03 04'!I223</f>
        <v>8473.929014185946</v>
      </c>
      <c r="L72" s="11">
        <f>1.0282*'[1]TabStip_docenti esatta 02 03 04'!J223</f>
        <v>5554.854672466447</v>
      </c>
      <c r="M72" s="11">
        <f t="shared" si="10"/>
        <v>2598.235395108762</v>
      </c>
      <c r="N72" s="11">
        <f t="shared" si="11"/>
        <v>706.1607511821621</v>
      </c>
      <c r="O72" s="11">
        <f t="shared" si="12"/>
        <v>48512.004574248465</v>
      </c>
      <c r="P72" s="11">
        <f t="shared" si="13"/>
        <v>4123.520388811119</v>
      </c>
      <c r="Q72" s="11">
        <f t="shared" si="14"/>
        <v>11739.905106968128</v>
      </c>
      <c r="R72" s="11"/>
      <c r="S72" s="11">
        <f t="shared" si="15"/>
        <v>2231.394474952055</v>
      </c>
      <c r="T72" s="12">
        <f t="shared" si="16"/>
        <v>66606.82454497977</v>
      </c>
      <c r="V72" s="7"/>
    </row>
    <row r="73" spans="1:22" s="5" customFormat="1" ht="12.75" hidden="1">
      <c r="A73" s="1" t="s">
        <v>8</v>
      </c>
      <c r="B73" s="1" t="s">
        <v>123</v>
      </c>
      <c r="C73" s="1">
        <v>12</v>
      </c>
      <c r="D73" s="1" t="s">
        <v>34</v>
      </c>
      <c r="E73" s="5" t="s">
        <v>158</v>
      </c>
      <c r="F73" s="5" t="s">
        <v>159</v>
      </c>
      <c r="I73" s="11">
        <f t="shared" si="9"/>
        <v>16205.210008227667</v>
      </c>
      <c r="J73" s="11">
        <f>1.0282*'[1]TabStip_docenti esatta 02 03 04'!H224</f>
        <v>16412.63049278322</v>
      </c>
      <c r="K73" s="11">
        <f>1.0282*'[1]TabStip_docenti esatta 02 03 04'!I224</f>
        <v>8473.929014185946</v>
      </c>
      <c r="L73" s="11">
        <f>1.0282*'[1]TabStip_docenti esatta 02 03 04'!J224</f>
        <v>5554.854672466447</v>
      </c>
      <c r="M73" s="11">
        <f t="shared" si="10"/>
        <v>2718.1533750842405</v>
      </c>
      <c r="N73" s="11">
        <f t="shared" si="11"/>
        <v>706.1607511821621</v>
      </c>
      <c r="O73" s="11">
        <f t="shared" si="12"/>
        <v>50070.93831392969</v>
      </c>
      <c r="P73" s="11">
        <f t="shared" si="13"/>
        <v>4256.029756684024</v>
      </c>
      <c r="Q73" s="11">
        <f t="shared" si="14"/>
        <v>12117.167071970985</v>
      </c>
      <c r="R73" s="11"/>
      <c r="S73" s="11">
        <f t="shared" si="15"/>
        <v>2319.941911365948</v>
      </c>
      <c r="T73" s="12">
        <f t="shared" si="16"/>
        <v>68764.07705395065</v>
      </c>
      <c r="V73" s="7"/>
    </row>
    <row r="74" spans="1:22" s="5" customFormat="1" ht="12.75" hidden="1">
      <c r="A74" s="1" t="s">
        <v>8</v>
      </c>
      <c r="B74" s="1" t="s">
        <v>123</v>
      </c>
      <c r="C74" s="1">
        <v>13</v>
      </c>
      <c r="D74" s="1" t="s">
        <v>34</v>
      </c>
      <c r="E74" s="5" t="s">
        <v>160</v>
      </c>
      <c r="F74" s="5" t="s">
        <v>161</v>
      </c>
      <c r="I74" s="11">
        <f t="shared" si="9"/>
        <v>16205.210008227667</v>
      </c>
      <c r="J74" s="11">
        <f>1.0282*'[1]TabStip_docenti esatta 02 03 04'!H225</f>
        <v>17851.65696303758</v>
      </c>
      <c r="K74" s="11">
        <f>1.0282*'[1]TabStip_docenti esatta 02 03 04'!I225</f>
        <v>8473.929014185946</v>
      </c>
      <c r="L74" s="11">
        <f>1.0282*'[1]TabStip_docenti esatta 02 03 04'!J225</f>
        <v>5554.854672466447</v>
      </c>
      <c r="M74" s="11">
        <f t="shared" si="10"/>
        <v>2838.0722476054375</v>
      </c>
      <c r="N74" s="11">
        <f t="shared" si="11"/>
        <v>706.1607511821621</v>
      </c>
      <c r="O74" s="11">
        <f t="shared" si="12"/>
        <v>51629.88365670524</v>
      </c>
      <c r="P74" s="11">
        <f t="shared" si="13"/>
        <v>4388.540110819946</v>
      </c>
      <c r="Q74" s="11">
        <f t="shared" si="14"/>
        <v>12494.431844922667</v>
      </c>
      <c r="R74" s="11"/>
      <c r="S74" s="11">
        <f t="shared" si="15"/>
        <v>2408.4900068356</v>
      </c>
      <c r="T74" s="12">
        <f t="shared" si="16"/>
        <v>70921.34561928344</v>
      </c>
      <c r="V74" s="7"/>
    </row>
    <row r="75" spans="1:22" s="5" customFormat="1" ht="12.75" hidden="1">
      <c r="A75" s="1" t="s">
        <v>8</v>
      </c>
      <c r="B75" s="1" t="s">
        <v>123</v>
      </c>
      <c r="C75" s="1">
        <v>14</v>
      </c>
      <c r="D75" s="1" t="s">
        <v>34</v>
      </c>
      <c r="E75" s="5" t="s">
        <v>162</v>
      </c>
      <c r="F75" s="5" t="s">
        <v>163</v>
      </c>
      <c r="I75" s="11">
        <f t="shared" si="9"/>
        <v>16205.210008227667</v>
      </c>
      <c r="J75" s="11">
        <f>1.0282*'[1]TabStip_docenti esatta 02 03 04'!H226</f>
        <v>19290.68343329195</v>
      </c>
      <c r="K75" s="11">
        <f>1.0282*'[1]TabStip_docenti esatta 02 03 04'!I226</f>
        <v>8473.929014185946</v>
      </c>
      <c r="L75" s="11">
        <f>1.0282*'[1]TabStip_docenti esatta 02 03 04'!J226</f>
        <v>5554.854672466447</v>
      </c>
      <c r="M75" s="11">
        <f t="shared" si="10"/>
        <v>2957.9911201266345</v>
      </c>
      <c r="N75" s="11">
        <f t="shared" si="11"/>
        <v>706.1607511821621</v>
      </c>
      <c r="O75" s="11">
        <f t="shared" si="12"/>
        <v>53188.82899948081</v>
      </c>
      <c r="P75" s="11">
        <f t="shared" si="13"/>
        <v>4521.050464955869</v>
      </c>
      <c r="Q75" s="11">
        <f t="shared" si="14"/>
        <v>12871.696617874353</v>
      </c>
      <c r="R75" s="11"/>
      <c r="S75" s="11">
        <f t="shared" si="15"/>
        <v>2497.0381023052523</v>
      </c>
      <c r="T75" s="12">
        <f t="shared" si="16"/>
        <v>73078.61418461628</v>
      </c>
      <c r="V75" s="7"/>
    </row>
    <row r="76" spans="1:22" s="5" customFormat="1" ht="12.75" hidden="1">
      <c r="A76" s="1"/>
      <c r="B76" s="1"/>
      <c r="C76" s="1"/>
      <c r="D76" s="1"/>
      <c r="O76" s="11"/>
      <c r="S76" s="11"/>
      <c r="T76" s="6"/>
      <c r="V76" s="7"/>
    </row>
    <row r="77" spans="1:22" s="5" customFormat="1" ht="12.75" hidden="1">
      <c r="A77" s="1"/>
      <c r="B77" s="20" t="s">
        <v>164</v>
      </c>
      <c r="C77" s="1"/>
      <c r="D77" s="1"/>
      <c r="S77" s="11"/>
      <c r="T77" s="6"/>
      <c r="V77" s="7"/>
    </row>
    <row r="78" spans="1:22" s="5" customFormat="1" ht="12.75" hidden="1">
      <c r="A78" s="1"/>
      <c r="B78" s="1"/>
      <c r="C78" s="1"/>
      <c r="D78" s="1"/>
      <c r="T78" s="6"/>
      <c r="V78" s="7"/>
    </row>
    <row r="79" spans="1:22" s="5" customFormat="1" ht="12.75" hidden="1">
      <c r="A79" s="1"/>
      <c r="B79" s="2" t="s">
        <v>165</v>
      </c>
      <c r="C79" s="3"/>
      <c r="D79" s="4"/>
      <c r="T79" s="6"/>
      <c r="V79" s="7"/>
    </row>
    <row r="80" spans="1:22" s="5" customFormat="1" ht="12.75" hidden="1">
      <c r="A80" s="1"/>
      <c r="B80" s="1"/>
      <c r="C80" s="1"/>
      <c r="D80" s="4"/>
      <c r="T80" s="6"/>
      <c r="V80" s="7"/>
    </row>
    <row r="81" spans="1:22" s="5" customFormat="1" ht="13.5" hidden="1" thickTop="1">
      <c r="A81" s="21" t="s">
        <v>12</v>
      </c>
      <c r="B81" s="22" t="s">
        <v>13</v>
      </c>
      <c r="C81" s="22" t="s">
        <v>14</v>
      </c>
      <c r="D81" s="22" t="s">
        <v>15</v>
      </c>
      <c r="E81" s="23" t="s">
        <v>16</v>
      </c>
      <c r="F81" s="23" t="s">
        <v>17</v>
      </c>
      <c r="G81" s="23"/>
      <c r="H81" s="23"/>
      <c r="I81" s="23" t="s">
        <v>18</v>
      </c>
      <c r="J81" s="23" t="s">
        <v>19</v>
      </c>
      <c r="K81" s="23" t="s">
        <v>20</v>
      </c>
      <c r="L81" s="23" t="s">
        <v>21</v>
      </c>
      <c r="M81" s="23" t="s">
        <v>22</v>
      </c>
      <c r="N81" s="23" t="s">
        <v>23</v>
      </c>
      <c r="O81" s="23" t="s">
        <v>24</v>
      </c>
      <c r="P81" s="23" t="s">
        <v>25</v>
      </c>
      <c r="Q81" s="23" t="s">
        <v>26</v>
      </c>
      <c r="R81" s="23" t="s">
        <v>27</v>
      </c>
      <c r="S81" s="23" t="s">
        <v>28</v>
      </c>
      <c r="T81" s="24" t="s">
        <v>29</v>
      </c>
      <c r="V81" s="7"/>
    </row>
    <row r="82" spans="1:22" s="5" customFormat="1" ht="13.5" hidden="1" thickTop="1">
      <c r="A82" s="25" t="s">
        <v>10</v>
      </c>
      <c r="B82" s="26" t="s">
        <v>30</v>
      </c>
      <c r="C82" s="26">
        <v>0</v>
      </c>
      <c r="D82" s="26" t="s">
        <v>31</v>
      </c>
      <c r="E82" s="27" t="s">
        <v>32</v>
      </c>
      <c r="F82" s="27" t="s">
        <v>33</v>
      </c>
      <c r="G82" s="27"/>
      <c r="H82" s="27"/>
      <c r="I82" s="28">
        <f aca="true" t="shared" si="17" ref="I82:L97">I4*1.0223</f>
        <v>21840.799716560832</v>
      </c>
      <c r="J82" s="28">
        <f t="shared" si="17"/>
        <v>0</v>
      </c>
      <c r="K82" s="28">
        <f t="shared" si="17"/>
        <v>9090.559056320722</v>
      </c>
      <c r="L82" s="28">
        <f t="shared" si="17"/>
        <v>0</v>
      </c>
      <c r="M82" s="28">
        <f aca="true" t="shared" si="18" ref="M82:M145">(I82+J82)/12</f>
        <v>1820.066643046736</v>
      </c>
      <c r="N82" s="28">
        <f aca="true" t="shared" si="19" ref="N82:N145">K82/12</f>
        <v>757.5465880267269</v>
      </c>
      <c r="O82" s="28">
        <f aca="true" t="shared" si="20" ref="O82:O145">SUM(I82:N82)</f>
        <v>33508.972003955016</v>
      </c>
      <c r="P82" s="28">
        <f aca="true" t="shared" si="21" ref="P82:P145">O82*8.5/100</f>
        <v>2848.2626203361765</v>
      </c>
      <c r="Q82" s="28">
        <f aca="true" t="shared" si="22" ref="Q82:Q145">O82*24.2/100</f>
        <v>8109.171224957113</v>
      </c>
      <c r="R82" s="28">
        <f>(I82+J82)*18%*24.2%</f>
        <v>951.3852356533898</v>
      </c>
      <c r="S82" s="28">
        <f aca="true" t="shared" si="23" ref="S82:S145">(I82+J82+M82)*80%*7.1%+(K82+N82)*80%*60%*7.1%</f>
        <v>1679.5606495850707</v>
      </c>
      <c r="T82" s="29">
        <f aca="true" t="shared" si="24" ref="T82:T145">O82+P82+Q82+R82+S82</f>
        <v>47097.35173448677</v>
      </c>
      <c r="V82" s="7"/>
    </row>
    <row r="83" spans="1:22" s="5" customFormat="1" ht="12.75" hidden="1">
      <c r="A83" s="30" t="s">
        <v>10</v>
      </c>
      <c r="B83" s="31" t="s">
        <v>30</v>
      </c>
      <c r="C83" s="31">
        <v>0</v>
      </c>
      <c r="D83" s="31" t="s">
        <v>34</v>
      </c>
      <c r="E83" s="32" t="s">
        <v>35</v>
      </c>
      <c r="F83" s="32" t="s">
        <v>36</v>
      </c>
      <c r="G83" s="32"/>
      <c r="H83" s="32"/>
      <c r="I83" s="33">
        <f t="shared" si="17"/>
        <v>30135.31594096594</v>
      </c>
      <c r="J83" s="33">
        <f t="shared" si="17"/>
        <v>0</v>
      </c>
      <c r="K83" s="33">
        <f t="shared" si="17"/>
        <v>9661.30716031282</v>
      </c>
      <c r="L83" s="33">
        <f t="shared" si="17"/>
        <v>6953.543959203249</v>
      </c>
      <c r="M83" s="33">
        <f t="shared" si="18"/>
        <v>2511.276328413828</v>
      </c>
      <c r="N83" s="33">
        <f t="shared" si="19"/>
        <v>805.1089300260683</v>
      </c>
      <c r="O83" s="33">
        <f t="shared" si="20"/>
        <v>50066.55231892191</v>
      </c>
      <c r="P83" s="33">
        <f t="shared" si="21"/>
        <v>4255.656947108362</v>
      </c>
      <c r="Q83" s="33">
        <f t="shared" si="22"/>
        <v>12116.105661179103</v>
      </c>
      <c r="R83" s="33"/>
      <c r="S83" s="33">
        <f t="shared" si="23"/>
        <v>2211.02190125952</v>
      </c>
      <c r="T83" s="34">
        <f t="shared" si="24"/>
        <v>68649.33682846889</v>
      </c>
      <c r="V83" s="7"/>
    </row>
    <row r="84" spans="1:22" s="5" customFormat="1" ht="12.75" hidden="1">
      <c r="A84" s="30" t="s">
        <v>10</v>
      </c>
      <c r="B84" s="31" t="s">
        <v>37</v>
      </c>
      <c r="C84" s="31">
        <v>0</v>
      </c>
      <c r="D84" s="31" t="s">
        <v>31</v>
      </c>
      <c r="E84" s="32" t="s">
        <v>38</v>
      </c>
      <c r="F84" s="32"/>
      <c r="G84" s="32"/>
      <c r="H84" s="32"/>
      <c r="I84" s="33">
        <f t="shared" si="17"/>
        <v>23643.95684570027</v>
      </c>
      <c r="J84" s="33">
        <f t="shared" si="17"/>
        <v>0</v>
      </c>
      <c r="K84" s="33">
        <f t="shared" si="17"/>
        <v>9214.626638071371</v>
      </c>
      <c r="L84" s="33">
        <f t="shared" si="17"/>
        <v>0</v>
      </c>
      <c r="M84" s="33">
        <f t="shared" si="18"/>
        <v>1970.3297371416893</v>
      </c>
      <c r="N84" s="33">
        <f t="shared" si="19"/>
        <v>767.8855531726143</v>
      </c>
      <c r="O84" s="33">
        <f t="shared" si="20"/>
        <v>35596.798774085946</v>
      </c>
      <c r="P84" s="33">
        <f t="shared" si="21"/>
        <v>3025.7278957973053</v>
      </c>
      <c r="Q84" s="33">
        <f t="shared" si="22"/>
        <v>8614.425303328799</v>
      </c>
      <c r="R84" s="33">
        <f>(I84+J84)*18%*24.2%</f>
        <v>1029.9307601987039</v>
      </c>
      <c r="S84" s="33">
        <f t="shared" si="23"/>
        <v>1795.0954933830183</v>
      </c>
      <c r="T84" s="34">
        <f t="shared" si="24"/>
        <v>50061.97822679377</v>
      </c>
      <c r="V84" s="7"/>
    </row>
    <row r="85" spans="1:22" s="5" customFormat="1" ht="12.75" hidden="1">
      <c r="A85" s="30" t="s">
        <v>10</v>
      </c>
      <c r="B85" s="31" t="s">
        <v>37</v>
      </c>
      <c r="C85" s="31">
        <v>0</v>
      </c>
      <c r="D85" s="31" t="s">
        <v>34</v>
      </c>
      <c r="E85" s="32" t="s">
        <v>39</v>
      </c>
      <c r="F85" s="32"/>
      <c r="G85" s="32"/>
      <c r="H85" s="32"/>
      <c r="I85" s="33">
        <f t="shared" si="17"/>
        <v>32659.72059260976</v>
      </c>
      <c r="J85" s="33">
        <f t="shared" si="17"/>
        <v>0</v>
      </c>
      <c r="K85" s="33">
        <f t="shared" si="17"/>
        <v>9835.00834440004</v>
      </c>
      <c r="L85" s="33">
        <f t="shared" si="17"/>
        <v>6953.543959203249</v>
      </c>
      <c r="M85" s="33">
        <f t="shared" si="18"/>
        <v>2721.64338271748</v>
      </c>
      <c r="N85" s="33">
        <f t="shared" si="19"/>
        <v>819.5840287000033</v>
      </c>
      <c r="O85" s="33">
        <f t="shared" si="20"/>
        <v>52989.50030763053</v>
      </c>
      <c r="P85" s="33">
        <f t="shared" si="21"/>
        <v>4504.107526148595</v>
      </c>
      <c r="Q85" s="33">
        <f t="shared" si="22"/>
        <v>12823.459074446588</v>
      </c>
      <c r="R85" s="33"/>
      <c r="S85" s="33">
        <f t="shared" si="23"/>
        <v>2372.7699818738365</v>
      </c>
      <c r="T85" s="34">
        <f t="shared" si="24"/>
        <v>72689.83689009954</v>
      </c>
      <c r="V85" s="7"/>
    </row>
    <row r="86" spans="1:22" s="5" customFormat="1" ht="12.75" hidden="1">
      <c r="A86" s="30" t="s">
        <v>10</v>
      </c>
      <c r="B86" s="31" t="s">
        <v>37</v>
      </c>
      <c r="C86" s="31">
        <v>1</v>
      </c>
      <c r="D86" s="31" t="s">
        <v>31</v>
      </c>
      <c r="E86" s="32" t="s">
        <v>40</v>
      </c>
      <c r="F86" s="32"/>
      <c r="G86" s="32"/>
      <c r="H86" s="32"/>
      <c r="I86" s="33">
        <f t="shared" si="17"/>
        <v>23643.95684570027</v>
      </c>
      <c r="J86" s="33">
        <f t="shared" si="17"/>
        <v>1891.5187375347925</v>
      </c>
      <c r="K86" s="33">
        <f t="shared" si="17"/>
        <v>9214.626638071371</v>
      </c>
      <c r="L86" s="33">
        <f t="shared" si="17"/>
        <v>0</v>
      </c>
      <c r="M86" s="33">
        <f t="shared" si="18"/>
        <v>2127.956298602922</v>
      </c>
      <c r="N86" s="33">
        <f t="shared" si="19"/>
        <v>767.8855531726143</v>
      </c>
      <c r="O86" s="33">
        <f t="shared" si="20"/>
        <v>37645.94407308197</v>
      </c>
      <c r="P86" s="33">
        <f t="shared" si="21"/>
        <v>3199.905246211967</v>
      </c>
      <c r="Q86" s="33">
        <f t="shared" si="22"/>
        <v>9110.318465685836</v>
      </c>
      <c r="R86" s="33">
        <f>(I86+J86)*18%*24.2%</f>
        <v>1112.3253164057194</v>
      </c>
      <c r="S86" s="33">
        <f t="shared" si="23"/>
        <v>1911.4869463659925</v>
      </c>
      <c r="T86" s="34">
        <f t="shared" si="24"/>
        <v>52979.98004775148</v>
      </c>
      <c r="V86" s="7"/>
    </row>
    <row r="87" spans="1:22" s="5" customFormat="1" ht="12.75" hidden="1">
      <c r="A87" s="30" t="s">
        <v>10</v>
      </c>
      <c r="B87" s="31" t="s">
        <v>37</v>
      </c>
      <c r="C87" s="31">
        <v>1</v>
      </c>
      <c r="D87" s="31" t="s">
        <v>34</v>
      </c>
      <c r="E87" s="32" t="s">
        <v>41</v>
      </c>
      <c r="F87" s="32"/>
      <c r="G87" s="32"/>
      <c r="H87" s="32"/>
      <c r="I87" s="33">
        <f t="shared" si="17"/>
        <v>32659.72059260976</v>
      </c>
      <c r="J87" s="33">
        <f t="shared" si="17"/>
        <v>2612.7772094330267</v>
      </c>
      <c r="K87" s="33">
        <f t="shared" si="17"/>
        <v>9835.00834440004</v>
      </c>
      <c r="L87" s="33">
        <f t="shared" si="17"/>
        <v>8112.460652807889</v>
      </c>
      <c r="M87" s="33">
        <f t="shared" si="18"/>
        <v>2939.374816836899</v>
      </c>
      <c r="N87" s="33">
        <f t="shared" si="19"/>
        <v>819.5840287000033</v>
      </c>
      <c r="O87" s="33">
        <f t="shared" si="20"/>
        <v>56978.92564478762</v>
      </c>
      <c r="P87" s="33">
        <f t="shared" si="21"/>
        <v>4843.208679806948</v>
      </c>
      <c r="Q87" s="33">
        <f t="shared" si="22"/>
        <v>13788.900006038602</v>
      </c>
      <c r="R87" s="33"/>
      <c r="S87" s="33">
        <f t="shared" si="23"/>
        <v>2533.5428728276156</v>
      </c>
      <c r="T87" s="34">
        <f t="shared" si="24"/>
        <v>78144.5772034608</v>
      </c>
      <c r="V87" s="7"/>
    </row>
    <row r="88" spans="1:22" s="5" customFormat="1" ht="12.75" hidden="1">
      <c r="A88" s="30" t="s">
        <v>10</v>
      </c>
      <c r="B88" s="31" t="s">
        <v>37</v>
      </c>
      <c r="C88" s="31">
        <v>2</v>
      </c>
      <c r="D88" s="31" t="s">
        <v>31</v>
      </c>
      <c r="E88" s="32" t="s">
        <v>42</v>
      </c>
      <c r="F88" s="32"/>
      <c r="G88" s="32"/>
      <c r="H88" s="32"/>
      <c r="I88" s="33">
        <f t="shared" si="17"/>
        <v>23643.95684570027</v>
      </c>
      <c r="J88" s="33">
        <f t="shared" si="17"/>
        <v>3783.037475069585</v>
      </c>
      <c r="K88" s="33">
        <f t="shared" si="17"/>
        <v>9214.626638071371</v>
      </c>
      <c r="L88" s="33">
        <f t="shared" si="17"/>
        <v>0</v>
      </c>
      <c r="M88" s="33">
        <f t="shared" si="18"/>
        <v>2285.582860064155</v>
      </c>
      <c r="N88" s="33">
        <f t="shared" si="19"/>
        <v>767.8855531726143</v>
      </c>
      <c r="O88" s="33">
        <f t="shared" si="20"/>
        <v>39695.089372078</v>
      </c>
      <c r="P88" s="33">
        <f t="shared" si="21"/>
        <v>3374.0825966266298</v>
      </c>
      <c r="Q88" s="33">
        <f t="shared" si="22"/>
        <v>9606.211628042876</v>
      </c>
      <c r="R88" s="33">
        <f>(I88+J88)*18%*24.2%</f>
        <v>1194.719872612735</v>
      </c>
      <c r="S88" s="33">
        <f t="shared" si="23"/>
        <v>2027.878399348967</v>
      </c>
      <c r="T88" s="34">
        <f t="shared" si="24"/>
        <v>55897.981868709205</v>
      </c>
      <c r="V88" s="7"/>
    </row>
    <row r="89" spans="1:22" s="5" customFormat="1" ht="12.75" hidden="1">
      <c r="A89" s="30" t="s">
        <v>10</v>
      </c>
      <c r="B89" s="31" t="s">
        <v>37</v>
      </c>
      <c r="C89" s="31">
        <v>2</v>
      </c>
      <c r="D89" s="31" t="s">
        <v>34</v>
      </c>
      <c r="E89" s="32" t="s">
        <v>43</v>
      </c>
      <c r="F89" s="32" t="s">
        <v>44</v>
      </c>
      <c r="G89" s="32"/>
      <c r="H89" s="32"/>
      <c r="I89" s="33">
        <f t="shared" si="17"/>
        <v>32659.72059260976</v>
      </c>
      <c r="J89" s="33">
        <f t="shared" si="17"/>
        <v>5225.554418866053</v>
      </c>
      <c r="K89" s="33">
        <f t="shared" si="17"/>
        <v>9835.00834440004</v>
      </c>
      <c r="L89" s="33">
        <f t="shared" si="17"/>
        <v>8112.460652807889</v>
      </c>
      <c r="M89" s="33">
        <f t="shared" si="18"/>
        <v>3157.1062509563176</v>
      </c>
      <c r="N89" s="33">
        <f t="shared" si="19"/>
        <v>819.5840287000033</v>
      </c>
      <c r="O89" s="33">
        <f t="shared" si="20"/>
        <v>59809.43428834006</v>
      </c>
      <c r="P89" s="33">
        <f t="shared" si="21"/>
        <v>5083.801914508905</v>
      </c>
      <c r="Q89" s="33">
        <f t="shared" si="22"/>
        <v>14473.883097778293</v>
      </c>
      <c r="R89" s="33"/>
      <c r="S89" s="33">
        <f t="shared" si="23"/>
        <v>2694.3157637813943</v>
      </c>
      <c r="T89" s="34">
        <f t="shared" si="24"/>
        <v>82061.43506440867</v>
      </c>
      <c r="V89" s="7"/>
    </row>
    <row r="90" spans="1:22" s="5" customFormat="1" ht="12.75" hidden="1">
      <c r="A90" s="30" t="s">
        <v>10</v>
      </c>
      <c r="B90" s="31" t="s">
        <v>37</v>
      </c>
      <c r="C90" s="31">
        <v>3</v>
      </c>
      <c r="D90" s="31" t="s">
        <v>31</v>
      </c>
      <c r="E90" s="32" t="s">
        <v>45</v>
      </c>
      <c r="F90" s="32"/>
      <c r="G90" s="32"/>
      <c r="H90" s="32"/>
      <c r="I90" s="33">
        <f t="shared" si="17"/>
        <v>23643.95684570027</v>
      </c>
      <c r="J90" s="33">
        <f t="shared" si="17"/>
        <v>5674.556212604377</v>
      </c>
      <c r="K90" s="33">
        <f t="shared" si="17"/>
        <v>9214.626638071371</v>
      </c>
      <c r="L90" s="33">
        <f t="shared" si="17"/>
        <v>0</v>
      </c>
      <c r="M90" s="33">
        <f t="shared" si="18"/>
        <v>2443.2094215253874</v>
      </c>
      <c r="N90" s="33">
        <f t="shared" si="19"/>
        <v>767.8855531726143</v>
      </c>
      <c r="O90" s="33">
        <f t="shared" si="20"/>
        <v>41744.234671074024</v>
      </c>
      <c r="P90" s="33">
        <f t="shared" si="21"/>
        <v>3548.2599470412915</v>
      </c>
      <c r="Q90" s="33">
        <f t="shared" si="22"/>
        <v>10102.104790399913</v>
      </c>
      <c r="R90" s="33">
        <f>(I90+J90)*18%*24.2%</f>
        <v>1277.1144288197504</v>
      </c>
      <c r="S90" s="33">
        <f t="shared" si="23"/>
        <v>2144.2698523319414</v>
      </c>
      <c r="T90" s="34">
        <f t="shared" si="24"/>
        <v>58815.98368966692</v>
      </c>
      <c r="V90" s="7"/>
    </row>
    <row r="91" spans="1:22" s="5" customFormat="1" ht="12.75" hidden="1">
      <c r="A91" s="30" t="s">
        <v>10</v>
      </c>
      <c r="B91" s="31" t="s">
        <v>37</v>
      </c>
      <c r="C91" s="31">
        <v>3</v>
      </c>
      <c r="D91" s="31" t="s">
        <v>34</v>
      </c>
      <c r="E91" s="32" t="s">
        <v>46</v>
      </c>
      <c r="F91" s="32" t="s">
        <v>47</v>
      </c>
      <c r="G91" s="32"/>
      <c r="H91" s="32"/>
      <c r="I91" s="33">
        <f t="shared" si="17"/>
        <v>32659.72059260976</v>
      </c>
      <c r="J91" s="33">
        <f t="shared" si="17"/>
        <v>7838.33162829908</v>
      </c>
      <c r="K91" s="33">
        <f t="shared" si="17"/>
        <v>9835.00834440004</v>
      </c>
      <c r="L91" s="33">
        <f t="shared" si="17"/>
        <v>9271.38829580638</v>
      </c>
      <c r="M91" s="33">
        <f t="shared" si="18"/>
        <v>3374.8376850757363</v>
      </c>
      <c r="N91" s="33">
        <f t="shared" si="19"/>
        <v>819.5840287000033</v>
      </c>
      <c r="O91" s="33">
        <f t="shared" si="20"/>
        <v>63798.870574891</v>
      </c>
      <c r="P91" s="33">
        <f t="shared" si="21"/>
        <v>5422.903998865735</v>
      </c>
      <c r="Q91" s="33">
        <f t="shared" si="22"/>
        <v>15439.326679123622</v>
      </c>
      <c r="R91" s="33"/>
      <c r="S91" s="33">
        <f t="shared" si="23"/>
        <v>2855.0886547351733</v>
      </c>
      <c r="T91" s="34">
        <f t="shared" si="24"/>
        <v>87516.18990761552</v>
      </c>
      <c r="V91" s="7"/>
    </row>
    <row r="92" spans="1:22" s="5" customFormat="1" ht="12.75" hidden="1">
      <c r="A92" s="30" t="s">
        <v>10</v>
      </c>
      <c r="B92" s="31" t="s">
        <v>37</v>
      </c>
      <c r="C92" s="31">
        <v>4</v>
      </c>
      <c r="D92" s="31" t="s">
        <v>31</v>
      </c>
      <c r="E92" s="32" t="s">
        <v>48</v>
      </c>
      <c r="F92" s="32"/>
      <c r="G92" s="32"/>
      <c r="H92" s="32"/>
      <c r="I92" s="33">
        <f t="shared" si="17"/>
        <v>23643.95684570027</v>
      </c>
      <c r="J92" s="33">
        <f t="shared" si="17"/>
        <v>7566.07495013917</v>
      </c>
      <c r="K92" s="33">
        <f t="shared" si="17"/>
        <v>9214.626638071371</v>
      </c>
      <c r="L92" s="33">
        <f t="shared" si="17"/>
        <v>0</v>
      </c>
      <c r="M92" s="33">
        <f t="shared" si="18"/>
        <v>2600.83598298662</v>
      </c>
      <c r="N92" s="33">
        <f t="shared" si="19"/>
        <v>767.8855531726143</v>
      </c>
      <c r="O92" s="33">
        <f t="shared" si="20"/>
        <v>43793.37997007004</v>
      </c>
      <c r="P92" s="33">
        <f t="shared" si="21"/>
        <v>3722.4372974559537</v>
      </c>
      <c r="Q92" s="33">
        <f t="shared" si="22"/>
        <v>10597.997952756949</v>
      </c>
      <c r="R92" s="33">
        <f>(I92+J92)*18%*24.2%</f>
        <v>1359.508985026766</v>
      </c>
      <c r="S92" s="33">
        <f t="shared" si="23"/>
        <v>2260.6613053149154</v>
      </c>
      <c r="T92" s="34">
        <f t="shared" si="24"/>
        <v>61733.98551062462</v>
      </c>
      <c r="V92" s="7"/>
    </row>
    <row r="93" spans="1:22" s="5" customFormat="1" ht="12.75" hidden="1">
      <c r="A93" s="30" t="s">
        <v>10</v>
      </c>
      <c r="B93" s="31" t="s">
        <v>37</v>
      </c>
      <c r="C93" s="31">
        <v>4</v>
      </c>
      <c r="D93" s="31" t="s">
        <v>34</v>
      </c>
      <c r="E93" s="32" t="s">
        <v>49</v>
      </c>
      <c r="F93" s="32" t="s">
        <v>50</v>
      </c>
      <c r="G93" s="32"/>
      <c r="H93" s="32"/>
      <c r="I93" s="33">
        <f t="shared" si="17"/>
        <v>32659.72059260976</v>
      </c>
      <c r="J93" s="33">
        <f t="shared" si="17"/>
        <v>10451.108837732107</v>
      </c>
      <c r="K93" s="33">
        <f t="shared" si="17"/>
        <v>9835.00834440004</v>
      </c>
      <c r="L93" s="33">
        <f t="shared" si="17"/>
        <v>9271.38829580638</v>
      </c>
      <c r="M93" s="33">
        <f t="shared" si="18"/>
        <v>3592.5691191951555</v>
      </c>
      <c r="N93" s="33">
        <f t="shared" si="19"/>
        <v>819.5840287000033</v>
      </c>
      <c r="O93" s="33">
        <f t="shared" si="20"/>
        <v>66629.37921844346</v>
      </c>
      <c r="P93" s="33">
        <f t="shared" si="21"/>
        <v>5663.497233567694</v>
      </c>
      <c r="Q93" s="33">
        <f t="shared" si="22"/>
        <v>16124.309770863318</v>
      </c>
      <c r="R93" s="33"/>
      <c r="S93" s="33">
        <f t="shared" si="23"/>
        <v>3015.8615456889524</v>
      </c>
      <c r="T93" s="34">
        <f t="shared" si="24"/>
        <v>91433.04776856341</v>
      </c>
      <c r="V93" s="7"/>
    </row>
    <row r="94" spans="1:22" s="5" customFormat="1" ht="12.75" hidden="1">
      <c r="A94" s="30" t="s">
        <v>10</v>
      </c>
      <c r="B94" s="31" t="s">
        <v>37</v>
      </c>
      <c r="C94" s="31">
        <v>5</v>
      </c>
      <c r="D94" s="31" t="s">
        <v>31</v>
      </c>
      <c r="E94" s="32" t="s">
        <v>51</v>
      </c>
      <c r="F94" s="32"/>
      <c r="G94" s="32"/>
      <c r="H94" s="32"/>
      <c r="I94" s="33">
        <f t="shared" si="17"/>
        <v>23643.95684570027</v>
      </c>
      <c r="J94" s="33">
        <f t="shared" si="17"/>
        <v>9457.593687673962</v>
      </c>
      <c r="K94" s="33">
        <f t="shared" si="17"/>
        <v>9214.626638071371</v>
      </c>
      <c r="L94" s="33">
        <f t="shared" si="17"/>
        <v>0</v>
      </c>
      <c r="M94" s="33">
        <f t="shared" si="18"/>
        <v>2758.462544447853</v>
      </c>
      <c r="N94" s="33">
        <f t="shared" si="19"/>
        <v>767.8855531726143</v>
      </c>
      <c r="O94" s="33">
        <f t="shared" si="20"/>
        <v>45842.52526906607</v>
      </c>
      <c r="P94" s="33">
        <f t="shared" si="21"/>
        <v>3896.614647870616</v>
      </c>
      <c r="Q94" s="33">
        <f t="shared" si="22"/>
        <v>11093.891115113987</v>
      </c>
      <c r="R94" s="33">
        <f>(I94+J94)*18%*24.2%</f>
        <v>1441.9035412337814</v>
      </c>
      <c r="S94" s="33">
        <f t="shared" si="23"/>
        <v>2377.0527582978893</v>
      </c>
      <c r="T94" s="34">
        <f t="shared" si="24"/>
        <v>64651.98733158234</v>
      </c>
      <c r="V94" s="7"/>
    </row>
    <row r="95" spans="1:22" s="5" customFormat="1" ht="12.75" hidden="1">
      <c r="A95" s="30" t="s">
        <v>10</v>
      </c>
      <c r="B95" s="31" t="s">
        <v>37</v>
      </c>
      <c r="C95" s="31">
        <v>5</v>
      </c>
      <c r="D95" s="31" t="s">
        <v>34</v>
      </c>
      <c r="E95" s="32" t="s">
        <v>52</v>
      </c>
      <c r="F95" s="32" t="s">
        <v>53</v>
      </c>
      <c r="G95" s="32"/>
      <c r="H95" s="32"/>
      <c r="I95" s="33">
        <f t="shared" si="17"/>
        <v>32659.72059260976</v>
      </c>
      <c r="J95" s="33">
        <f t="shared" si="17"/>
        <v>13063.886047165133</v>
      </c>
      <c r="K95" s="33">
        <f t="shared" si="17"/>
        <v>9835.00834440004</v>
      </c>
      <c r="L95" s="33">
        <f t="shared" si="17"/>
        <v>10430.304989411019</v>
      </c>
      <c r="M95" s="33">
        <f t="shared" si="18"/>
        <v>3810.3005533145747</v>
      </c>
      <c r="N95" s="33">
        <f t="shared" si="19"/>
        <v>819.5840287000033</v>
      </c>
      <c r="O95" s="33">
        <f t="shared" si="20"/>
        <v>70618.80455560054</v>
      </c>
      <c r="P95" s="33">
        <f t="shared" si="21"/>
        <v>6002.598387226046</v>
      </c>
      <c r="Q95" s="33">
        <f t="shared" si="22"/>
        <v>17089.75070245533</v>
      </c>
      <c r="R95" s="33"/>
      <c r="S95" s="33">
        <f t="shared" si="23"/>
        <v>3176.634436642731</v>
      </c>
      <c r="T95" s="34">
        <f t="shared" si="24"/>
        <v>96887.78808192465</v>
      </c>
      <c r="V95" s="7"/>
    </row>
    <row r="96" spans="1:22" s="5" customFormat="1" ht="12.75" hidden="1">
      <c r="A96" s="30" t="s">
        <v>10</v>
      </c>
      <c r="B96" s="31" t="s">
        <v>37</v>
      </c>
      <c r="C96" s="31">
        <v>6</v>
      </c>
      <c r="D96" s="31" t="s">
        <v>31</v>
      </c>
      <c r="E96" s="32" t="s">
        <v>54</v>
      </c>
      <c r="F96" s="32" t="s">
        <v>55</v>
      </c>
      <c r="G96" s="32"/>
      <c r="H96" s="32"/>
      <c r="I96" s="33">
        <f t="shared" si="17"/>
        <v>23643.95684570027</v>
      </c>
      <c r="J96" s="33">
        <f t="shared" si="17"/>
        <v>11349.112425208754</v>
      </c>
      <c r="K96" s="33">
        <f t="shared" si="17"/>
        <v>9214.626638071371</v>
      </c>
      <c r="L96" s="33">
        <f t="shared" si="17"/>
        <v>0</v>
      </c>
      <c r="M96" s="33">
        <f t="shared" si="18"/>
        <v>2916.089105909085</v>
      </c>
      <c r="N96" s="33">
        <f t="shared" si="19"/>
        <v>767.8855531726143</v>
      </c>
      <c r="O96" s="33">
        <f t="shared" si="20"/>
        <v>47891.670568062094</v>
      </c>
      <c r="P96" s="33">
        <f t="shared" si="21"/>
        <v>4070.791998285278</v>
      </c>
      <c r="Q96" s="33">
        <f t="shared" si="22"/>
        <v>11589.784277471026</v>
      </c>
      <c r="R96" s="33">
        <f>(I96+J96)*18%*24.2%</f>
        <v>1524.2980974407967</v>
      </c>
      <c r="S96" s="33">
        <f t="shared" si="23"/>
        <v>2493.4442112808633</v>
      </c>
      <c r="T96" s="34">
        <f t="shared" si="24"/>
        <v>67569.98915254006</v>
      </c>
      <c r="V96" s="7"/>
    </row>
    <row r="97" spans="1:22" s="5" customFormat="1" ht="12.75" hidden="1">
      <c r="A97" s="30" t="s">
        <v>10</v>
      </c>
      <c r="B97" s="31" t="s">
        <v>37</v>
      </c>
      <c r="C97" s="31">
        <v>6</v>
      </c>
      <c r="D97" s="31" t="s">
        <v>34</v>
      </c>
      <c r="E97" s="32" t="s">
        <v>56</v>
      </c>
      <c r="F97" s="32" t="s">
        <v>57</v>
      </c>
      <c r="G97" s="32"/>
      <c r="H97" s="32"/>
      <c r="I97" s="33">
        <f t="shared" si="17"/>
        <v>32659.72059260976</v>
      </c>
      <c r="J97" s="33">
        <f t="shared" si="17"/>
        <v>15676.66325659816</v>
      </c>
      <c r="K97" s="33">
        <f t="shared" si="17"/>
        <v>9835.00834440004</v>
      </c>
      <c r="L97" s="33">
        <f t="shared" si="17"/>
        <v>11589.232632409512</v>
      </c>
      <c r="M97" s="33">
        <f t="shared" si="18"/>
        <v>4028.0319874339934</v>
      </c>
      <c r="N97" s="33">
        <f t="shared" si="19"/>
        <v>819.5840287000033</v>
      </c>
      <c r="O97" s="33">
        <f t="shared" si="20"/>
        <v>74608.24084215147</v>
      </c>
      <c r="P97" s="33">
        <f t="shared" si="21"/>
        <v>6341.700471582875</v>
      </c>
      <c r="Q97" s="33">
        <f t="shared" si="22"/>
        <v>18055.194283800654</v>
      </c>
      <c r="R97" s="33"/>
      <c r="S97" s="33">
        <f t="shared" si="23"/>
        <v>3337.40732759651</v>
      </c>
      <c r="T97" s="34">
        <f t="shared" si="24"/>
        <v>102342.5429251315</v>
      </c>
      <c r="V97" s="7"/>
    </row>
    <row r="98" spans="1:22" s="5" customFormat="1" ht="12.75" hidden="1">
      <c r="A98" s="30" t="s">
        <v>10</v>
      </c>
      <c r="B98" s="31" t="s">
        <v>37</v>
      </c>
      <c r="C98" s="31">
        <v>7</v>
      </c>
      <c r="D98" s="31" t="s">
        <v>34</v>
      </c>
      <c r="E98" s="32" t="s">
        <v>58</v>
      </c>
      <c r="F98" s="32" t="s">
        <v>59</v>
      </c>
      <c r="G98" s="32"/>
      <c r="H98" s="32"/>
      <c r="I98" s="33">
        <f aca="true" t="shared" si="25" ref="I98:L113">I20*1.0223</f>
        <v>32659.72059260976</v>
      </c>
      <c r="J98" s="33">
        <f t="shared" si="25"/>
        <v>18576.85110528393</v>
      </c>
      <c r="K98" s="33">
        <f t="shared" si="25"/>
        <v>9835.00834440004</v>
      </c>
      <c r="L98" s="33">
        <f t="shared" si="25"/>
        <v>11589.232632409512</v>
      </c>
      <c r="M98" s="33">
        <f t="shared" si="18"/>
        <v>4269.714308157808</v>
      </c>
      <c r="N98" s="33">
        <f t="shared" si="19"/>
        <v>819.5840287000033</v>
      </c>
      <c r="O98" s="33">
        <f t="shared" si="20"/>
        <v>77750.11101156106</v>
      </c>
      <c r="P98" s="33">
        <f t="shared" si="21"/>
        <v>6608.75943598269</v>
      </c>
      <c r="Q98" s="33">
        <f t="shared" si="22"/>
        <v>18815.52686479778</v>
      </c>
      <c r="R98" s="33"/>
      <c r="S98" s="33">
        <f t="shared" si="23"/>
        <v>3515.8655532189746</v>
      </c>
      <c r="T98" s="34">
        <f t="shared" si="24"/>
        <v>106690.26286556051</v>
      </c>
      <c r="V98" s="7"/>
    </row>
    <row r="99" spans="1:22" s="5" customFormat="1" ht="12.75" hidden="1">
      <c r="A99" s="30" t="s">
        <v>10</v>
      </c>
      <c r="B99" s="31" t="s">
        <v>37</v>
      </c>
      <c r="C99" s="31">
        <v>8</v>
      </c>
      <c r="D99" s="31" t="s">
        <v>34</v>
      </c>
      <c r="E99" s="32" t="s">
        <v>60</v>
      </c>
      <c r="F99" s="32" t="s">
        <v>61</v>
      </c>
      <c r="G99" s="32"/>
      <c r="H99" s="32"/>
      <c r="I99" s="33">
        <f t="shared" si="25"/>
        <v>32659.72059260976</v>
      </c>
      <c r="J99" s="33">
        <f t="shared" si="25"/>
        <v>21477.038953969703</v>
      </c>
      <c r="K99" s="33">
        <f t="shared" si="25"/>
        <v>9835.00834440004</v>
      </c>
      <c r="L99" s="33">
        <f t="shared" si="25"/>
        <v>11589.232632409512</v>
      </c>
      <c r="M99" s="33">
        <f t="shared" si="18"/>
        <v>4511.396628881622</v>
      </c>
      <c r="N99" s="33">
        <f t="shared" si="19"/>
        <v>819.5840287000033</v>
      </c>
      <c r="O99" s="33">
        <f t="shared" si="20"/>
        <v>80891.98118097063</v>
      </c>
      <c r="P99" s="33">
        <f t="shared" si="21"/>
        <v>6875.818400382504</v>
      </c>
      <c r="Q99" s="33">
        <f t="shared" si="22"/>
        <v>19575.859445794893</v>
      </c>
      <c r="R99" s="33"/>
      <c r="S99" s="33">
        <f t="shared" si="23"/>
        <v>3694.3237788414385</v>
      </c>
      <c r="T99" s="34">
        <f t="shared" si="24"/>
        <v>111037.98280598946</v>
      </c>
      <c r="V99" s="7"/>
    </row>
    <row r="100" spans="1:22" s="5" customFormat="1" ht="12.75" hidden="1">
      <c r="A100" s="30" t="s">
        <v>10</v>
      </c>
      <c r="B100" s="31" t="s">
        <v>37</v>
      </c>
      <c r="C100" s="31">
        <v>9</v>
      </c>
      <c r="D100" s="31" t="s">
        <v>34</v>
      </c>
      <c r="E100" s="32" t="s">
        <v>62</v>
      </c>
      <c r="F100" s="32" t="s">
        <v>63</v>
      </c>
      <c r="G100" s="32"/>
      <c r="H100" s="32"/>
      <c r="I100" s="33">
        <f t="shared" si="25"/>
        <v>32659.72059260976</v>
      </c>
      <c r="J100" s="33">
        <f t="shared" si="25"/>
        <v>24377.21585326162</v>
      </c>
      <c r="K100" s="33">
        <f t="shared" si="25"/>
        <v>9835.00834440004</v>
      </c>
      <c r="L100" s="33">
        <f t="shared" si="25"/>
        <v>11589.232632409512</v>
      </c>
      <c r="M100" s="33">
        <f t="shared" si="18"/>
        <v>4753.078037155949</v>
      </c>
      <c r="N100" s="33">
        <f t="shared" si="19"/>
        <v>819.5840287000033</v>
      </c>
      <c r="O100" s="33">
        <f t="shared" si="20"/>
        <v>84033.83948853688</v>
      </c>
      <c r="P100" s="33">
        <f t="shared" si="21"/>
        <v>7142.876356525634</v>
      </c>
      <c r="Q100" s="33">
        <f t="shared" si="22"/>
        <v>20336.189156225926</v>
      </c>
      <c r="R100" s="33"/>
      <c r="S100" s="33">
        <f t="shared" si="23"/>
        <v>3872.781330711202</v>
      </c>
      <c r="T100" s="34">
        <f t="shared" si="24"/>
        <v>115385.68633199965</v>
      </c>
      <c r="V100" s="7"/>
    </row>
    <row r="101" spans="1:25" s="5" customFormat="1" ht="12.75" hidden="1">
      <c r="A101" s="30" t="s">
        <v>10</v>
      </c>
      <c r="B101" s="31" t="s">
        <v>37</v>
      </c>
      <c r="C101" s="31">
        <v>10</v>
      </c>
      <c r="D101" s="31" t="s">
        <v>34</v>
      </c>
      <c r="E101" s="32" t="s">
        <v>64</v>
      </c>
      <c r="F101" s="32" t="s">
        <v>65</v>
      </c>
      <c r="G101" s="32"/>
      <c r="H101" s="32"/>
      <c r="I101" s="33">
        <f t="shared" si="25"/>
        <v>32659.72059260976</v>
      </c>
      <c r="J101" s="33">
        <f t="shared" si="25"/>
        <v>27277.40370194739</v>
      </c>
      <c r="K101" s="33">
        <f t="shared" si="25"/>
        <v>9835.00834440004</v>
      </c>
      <c r="L101" s="33">
        <f t="shared" si="25"/>
        <v>11589.232632409512</v>
      </c>
      <c r="M101" s="33">
        <f t="shared" si="18"/>
        <v>4994.7603578797625</v>
      </c>
      <c r="N101" s="33">
        <f t="shared" si="19"/>
        <v>819.5840287000033</v>
      </c>
      <c r="O101" s="33">
        <f t="shared" si="20"/>
        <v>87175.70965794646</v>
      </c>
      <c r="P101" s="33">
        <f t="shared" si="21"/>
        <v>7409.935320925449</v>
      </c>
      <c r="Q101" s="33">
        <f t="shared" si="22"/>
        <v>21096.521737223044</v>
      </c>
      <c r="R101" s="33"/>
      <c r="S101" s="33">
        <f t="shared" si="23"/>
        <v>4051.2395563336663</v>
      </c>
      <c r="T101" s="34">
        <f t="shared" si="24"/>
        <v>119733.4062724286</v>
      </c>
      <c r="U101" s="11"/>
      <c r="V101" s="7"/>
      <c r="X101" s="11"/>
      <c r="Y101" s="11"/>
    </row>
    <row r="102" spans="1:22" s="5" customFormat="1" ht="12.75" hidden="1">
      <c r="A102" s="30" t="s">
        <v>10</v>
      </c>
      <c r="B102" s="31" t="s">
        <v>37</v>
      </c>
      <c r="C102" s="31">
        <v>11</v>
      </c>
      <c r="D102" s="31" t="s">
        <v>34</v>
      </c>
      <c r="E102" s="32" t="s">
        <v>66</v>
      </c>
      <c r="F102" s="32" t="s">
        <v>67</v>
      </c>
      <c r="G102" s="32"/>
      <c r="H102" s="32"/>
      <c r="I102" s="33">
        <f t="shared" si="25"/>
        <v>32659.72059260976</v>
      </c>
      <c r="J102" s="33">
        <f t="shared" si="25"/>
        <v>30177.58060123931</v>
      </c>
      <c r="K102" s="33">
        <f t="shared" si="25"/>
        <v>9835.00834440004</v>
      </c>
      <c r="L102" s="33">
        <f t="shared" si="25"/>
        <v>11589.232632409512</v>
      </c>
      <c r="M102" s="33">
        <f t="shared" si="18"/>
        <v>5236.441766154089</v>
      </c>
      <c r="N102" s="33">
        <f t="shared" si="19"/>
        <v>819.5840287000033</v>
      </c>
      <c r="O102" s="33">
        <f t="shared" si="20"/>
        <v>90317.56796551272</v>
      </c>
      <c r="P102" s="33">
        <f t="shared" si="21"/>
        <v>7676.993277068581</v>
      </c>
      <c r="Q102" s="33">
        <f t="shared" si="22"/>
        <v>21856.851447654077</v>
      </c>
      <c r="R102" s="33"/>
      <c r="S102" s="33">
        <f t="shared" si="23"/>
        <v>4229.697108203429</v>
      </c>
      <c r="T102" s="34">
        <f t="shared" si="24"/>
        <v>124081.1097984388</v>
      </c>
      <c r="V102" s="7"/>
    </row>
    <row r="103" spans="1:22" s="5" customFormat="1" ht="12.75" hidden="1">
      <c r="A103" s="30" t="s">
        <v>10</v>
      </c>
      <c r="B103" s="31" t="s">
        <v>37</v>
      </c>
      <c r="C103" s="31">
        <v>12</v>
      </c>
      <c r="D103" s="31" t="s">
        <v>34</v>
      </c>
      <c r="E103" s="32" t="s">
        <v>68</v>
      </c>
      <c r="F103" s="32" t="s">
        <v>69</v>
      </c>
      <c r="G103" s="32"/>
      <c r="H103" s="32"/>
      <c r="I103" s="33">
        <f t="shared" si="25"/>
        <v>32659.72059260976</v>
      </c>
      <c r="J103" s="33">
        <f t="shared" si="25"/>
        <v>33077.768449925075</v>
      </c>
      <c r="K103" s="33">
        <f t="shared" si="25"/>
        <v>9835.00834440004</v>
      </c>
      <c r="L103" s="33">
        <f t="shared" si="25"/>
        <v>11589.232632409512</v>
      </c>
      <c r="M103" s="33">
        <f t="shared" si="18"/>
        <v>5478.124086877903</v>
      </c>
      <c r="N103" s="33">
        <f t="shared" si="19"/>
        <v>819.5840287000033</v>
      </c>
      <c r="O103" s="33">
        <f t="shared" si="20"/>
        <v>93459.4381349223</v>
      </c>
      <c r="P103" s="33">
        <f t="shared" si="21"/>
        <v>7944.052241468395</v>
      </c>
      <c r="Q103" s="33">
        <f t="shared" si="22"/>
        <v>22617.184028651198</v>
      </c>
      <c r="R103" s="33"/>
      <c r="S103" s="33">
        <f t="shared" si="23"/>
        <v>4408.155333825893</v>
      </c>
      <c r="T103" s="34">
        <f t="shared" si="24"/>
        <v>128428.82973886779</v>
      </c>
      <c r="U103" s="11"/>
      <c r="V103" s="7"/>
    </row>
    <row r="104" spans="1:22" s="5" customFormat="1" ht="12.75" hidden="1">
      <c r="A104" s="30" t="s">
        <v>10</v>
      </c>
      <c r="B104" s="31" t="s">
        <v>37</v>
      </c>
      <c r="C104" s="31">
        <v>13</v>
      </c>
      <c r="D104" s="31" t="s">
        <v>34</v>
      </c>
      <c r="E104" s="32" t="s">
        <v>70</v>
      </c>
      <c r="F104" s="32" t="s">
        <v>71</v>
      </c>
      <c r="G104" s="32"/>
      <c r="H104" s="32"/>
      <c r="I104" s="33">
        <f t="shared" si="25"/>
        <v>32659.72059260976</v>
      </c>
      <c r="J104" s="33">
        <f t="shared" si="25"/>
        <v>35977.95629861084</v>
      </c>
      <c r="K104" s="33">
        <f t="shared" si="25"/>
        <v>9835.00834440004</v>
      </c>
      <c r="L104" s="33">
        <f t="shared" si="25"/>
        <v>11589.232632409512</v>
      </c>
      <c r="M104" s="33">
        <f t="shared" si="18"/>
        <v>5719.806407601717</v>
      </c>
      <c r="N104" s="33">
        <f t="shared" si="19"/>
        <v>819.5840287000033</v>
      </c>
      <c r="O104" s="33">
        <f t="shared" si="20"/>
        <v>96601.30830433186</v>
      </c>
      <c r="P104" s="33">
        <f t="shared" si="21"/>
        <v>8211.111205868208</v>
      </c>
      <c r="Q104" s="33">
        <f t="shared" si="22"/>
        <v>23377.516609648308</v>
      </c>
      <c r="R104" s="33"/>
      <c r="S104" s="33">
        <f t="shared" si="23"/>
        <v>4586.613559448357</v>
      </c>
      <c r="T104" s="34">
        <f t="shared" si="24"/>
        <v>132776.54967929673</v>
      </c>
      <c r="V104" s="7"/>
    </row>
    <row r="105" spans="1:22" s="5" customFormat="1" ht="13.5" hidden="1" thickBot="1">
      <c r="A105" s="35" t="s">
        <v>10</v>
      </c>
      <c r="B105" s="36" t="s">
        <v>37</v>
      </c>
      <c r="C105" s="36">
        <v>14</v>
      </c>
      <c r="D105" s="36" t="s">
        <v>34</v>
      </c>
      <c r="E105" s="37" t="s">
        <v>72</v>
      </c>
      <c r="F105" s="37" t="s">
        <v>73</v>
      </c>
      <c r="G105" s="37"/>
      <c r="H105" s="37"/>
      <c r="I105" s="38">
        <f t="shared" si="25"/>
        <v>32659.72059260976</v>
      </c>
      <c r="J105" s="38">
        <f t="shared" si="25"/>
        <v>38878.13319790277</v>
      </c>
      <c r="K105" s="38">
        <f t="shared" si="25"/>
        <v>9835.00834440004</v>
      </c>
      <c r="L105" s="38">
        <f t="shared" si="25"/>
        <v>11589.232632409512</v>
      </c>
      <c r="M105" s="38">
        <f t="shared" si="18"/>
        <v>5961.487815876044</v>
      </c>
      <c r="N105" s="38">
        <f t="shared" si="19"/>
        <v>819.5840287000033</v>
      </c>
      <c r="O105" s="38">
        <f t="shared" si="20"/>
        <v>99743.16661189811</v>
      </c>
      <c r="P105" s="38">
        <f t="shared" si="21"/>
        <v>8478.16916201134</v>
      </c>
      <c r="Q105" s="38">
        <f t="shared" si="22"/>
        <v>24137.84632007934</v>
      </c>
      <c r="R105" s="38"/>
      <c r="S105" s="38">
        <f t="shared" si="23"/>
        <v>4765.07111131812</v>
      </c>
      <c r="T105" s="39">
        <f t="shared" si="24"/>
        <v>137124.25320530692</v>
      </c>
      <c r="V105" s="7"/>
    </row>
    <row r="106" spans="1:22" s="5" customFormat="1" ht="13.5" hidden="1" thickTop="1">
      <c r="A106" s="25" t="s">
        <v>9</v>
      </c>
      <c r="B106" s="26" t="s">
        <v>74</v>
      </c>
      <c r="C106" s="26">
        <v>0</v>
      </c>
      <c r="D106" s="26" t="s">
        <v>31</v>
      </c>
      <c r="E106" s="27" t="s">
        <v>75</v>
      </c>
      <c r="F106" s="27" t="s">
        <v>76</v>
      </c>
      <c r="G106" s="27"/>
      <c r="H106" s="27"/>
      <c r="I106" s="28">
        <f t="shared" si="25"/>
        <v>15619.934447044712</v>
      </c>
      <c r="J106" s="28">
        <f t="shared" si="25"/>
        <v>0</v>
      </c>
      <c r="K106" s="28">
        <f t="shared" si="25"/>
        <v>8662.492503629725</v>
      </c>
      <c r="L106" s="28">
        <f t="shared" si="25"/>
        <v>0</v>
      </c>
      <c r="M106" s="28">
        <f t="shared" si="18"/>
        <v>1301.6612039203926</v>
      </c>
      <c r="N106" s="28">
        <f t="shared" si="19"/>
        <v>721.874375302477</v>
      </c>
      <c r="O106" s="28">
        <f t="shared" si="20"/>
        <v>26305.962529897308</v>
      </c>
      <c r="P106" s="28">
        <f t="shared" si="21"/>
        <v>2236.0068150412712</v>
      </c>
      <c r="Q106" s="28">
        <f t="shared" si="22"/>
        <v>6366.042932235148</v>
      </c>
      <c r="R106" s="28">
        <f>(I106+J106)*18%*24.2%</f>
        <v>680.4043445132676</v>
      </c>
      <c r="S106" s="28">
        <f t="shared" si="23"/>
        <v>1280.9658562088273</v>
      </c>
      <c r="T106" s="29">
        <f t="shared" si="24"/>
        <v>36869.38247789582</v>
      </c>
      <c r="V106" s="7"/>
    </row>
    <row r="107" spans="1:22" s="5" customFormat="1" ht="12.75" hidden="1">
      <c r="A107" s="30" t="s">
        <v>9</v>
      </c>
      <c r="B107" s="31" t="s">
        <v>74</v>
      </c>
      <c r="C107" s="31">
        <v>0</v>
      </c>
      <c r="D107" s="31" t="s">
        <v>34</v>
      </c>
      <c r="E107" s="32" t="s">
        <v>77</v>
      </c>
      <c r="F107" s="32" t="s">
        <v>78</v>
      </c>
      <c r="G107" s="32"/>
      <c r="H107" s="32"/>
      <c r="I107" s="33">
        <f t="shared" si="25"/>
        <v>21426.08047497689</v>
      </c>
      <c r="J107" s="33">
        <f t="shared" si="25"/>
        <v>0</v>
      </c>
      <c r="K107" s="33">
        <f t="shared" si="25"/>
        <v>9062.003037151568</v>
      </c>
      <c r="L107" s="33">
        <f t="shared" si="25"/>
        <v>4867.476391684734</v>
      </c>
      <c r="M107" s="33">
        <f t="shared" si="18"/>
        <v>1785.5067062480741</v>
      </c>
      <c r="N107" s="33">
        <f t="shared" si="19"/>
        <v>755.1669197626306</v>
      </c>
      <c r="O107" s="33">
        <f t="shared" si="20"/>
        <v>37896.2335298239</v>
      </c>
      <c r="P107" s="33">
        <f t="shared" si="21"/>
        <v>3221.1798500350314</v>
      </c>
      <c r="Q107" s="33">
        <f t="shared" si="22"/>
        <v>9170.888514217382</v>
      </c>
      <c r="R107" s="33"/>
      <c r="S107" s="33">
        <f t="shared" si="23"/>
        <v>1652.9873040252137</v>
      </c>
      <c r="T107" s="34">
        <f t="shared" si="24"/>
        <v>51941.28919810153</v>
      </c>
      <c r="V107" s="7"/>
    </row>
    <row r="108" spans="1:22" s="5" customFormat="1" ht="12.75" hidden="1">
      <c r="A108" s="30" t="s">
        <v>9</v>
      </c>
      <c r="B108" s="31" t="s">
        <v>79</v>
      </c>
      <c r="C108" s="31">
        <v>0</v>
      </c>
      <c r="D108" s="31" t="s">
        <v>31</v>
      </c>
      <c r="E108" s="32" t="s">
        <v>80</v>
      </c>
      <c r="F108" s="32"/>
      <c r="G108" s="32"/>
      <c r="H108" s="32"/>
      <c r="I108" s="33">
        <f t="shared" si="25"/>
        <v>16882.13677286662</v>
      </c>
      <c r="J108" s="33">
        <f t="shared" si="25"/>
        <v>0</v>
      </c>
      <c r="K108" s="33">
        <f t="shared" si="25"/>
        <v>8749.354045067188</v>
      </c>
      <c r="L108" s="33">
        <f t="shared" si="25"/>
        <v>0</v>
      </c>
      <c r="M108" s="33">
        <f t="shared" si="18"/>
        <v>1406.8447310722183</v>
      </c>
      <c r="N108" s="33">
        <f t="shared" si="19"/>
        <v>729.1128370889323</v>
      </c>
      <c r="O108" s="33">
        <f t="shared" si="20"/>
        <v>27767.44838609496</v>
      </c>
      <c r="P108" s="33">
        <f t="shared" si="21"/>
        <v>2360.2331128180713</v>
      </c>
      <c r="Q108" s="33">
        <f t="shared" si="22"/>
        <v>6719.72250943498</v>
      </c>
      <c r="R108" s="33">
        <f>(I108+J108)*18%*24.2%</f>
        <v>735.3858778260699</v>
      </c>
      <c r="S108" s="33">
        <f t="shared" si="23"/>
        <v>1361.8403007676065</v>
      </c>
      <c r="T108" s="34">
        <f t="shared" si="24"/>
        <v>38944.630186941686</v>
      </c>
      <c r="V108" s="7"/>
    </row>
    <row r="109" spans="1:22" s="5" customFormat="1" ht="12.75" hidden="1">
      <c r="A109" s="30" t="s">
        <v>9</v>
      </c>
      <c r="B109" s="31" t="s">
        <v>79</v>
      </c>
      <c r="C109" s="31">
        <v>0</v>
      </c>
      <c r="D109" s="31" t="s">
        <v>34</v>
      </c>
      <c r="E109" s="32" t="s">
        <v>81</v>
      </c>
      <c r="F109" s="32" t="s">
        <v>82</v>
      </c>
      <c r="G109" s="32"/>
      <c r="H109" s="32"/>
      <c r="I109" s="33">
        <f t="shared" si="25"/>
        <v>23193.170300763875</v>
      </c>
      <c r="J109" s="33">
        <f t="shared" si="25"/>
        <v>0</v>
      </c>
      <c r="K109" s="33">
        <f t="shared" si="25"/>
        <v>9183.596055891394</v>
      </c>
      <c r="L109" s="33">
        <f t="shared" si="25"/>
        <v>4867.476391684734</v>
      </c>
      <c r="M109" s="33">
        <f t="shared" si="18"/>
        <v>1932.7641917303229</v>
      </c>
      <c r="N109" s="33">
        <f t="shared" si="19"/>
        <v>765.2996713242828</v>
      </c>
      <c r="O109" s="33">
        <f t="shared" si="20"/>
        <v>39942.30661139461</v>
      </c>
      <c r="P109" s="33">
        <f t="shared" si="21"/>
        <v>3395.096061968542</v>
      </c>
      <c r="Q109" s="33">
        <f t="shared" si="22"/>
        <v>9666.038199957497</v>
      </c>
      <c r="R109" s="33"/>
      <c r="S109" s="33">
        <f t="shared" si="23"/>
        <v>1766.2114455571805</v>
      </c>
      <c r="T109" s="34">
        <f t="shared" si="24"/>
        <v>54769.65231887783</v>
      </c>
      <c r="V109" s="7"/>
    </row>
    <row r="110" spans="1:22" s="5" customFormat="1" ht="12.75" hidden="1">
      <c r="A110" s="30" t="s">
        <v>9</v>
      </c>
      <c r="B110" s="31" t="s">
        <v>79</v>
      </c>
      <c r="C110" s="31">
        <v>1</v>
      </c>
      <c r="D110" s="31" t="s">
        <v>31</v>
      </c>
      <c r="E110" s="32" t="s">
        <v>83</v>
      </c>
      <c r="F110" s="32"/>
      <c r="G110" s="32"/>
      <c r="H110" s="32"/>
      <c r="I110" s="33">
        <f t="shared" si="25"/>
        <v>16882.13677286662</v>
      </c>
      <c r="J110" s="33">
        <f t="shared" si="25"/>
        <v>1350.5748836111168</v>
      </c>
      <c r="K110" s="33">
        <f t="shared" si="25"/>
        <v>8749.354045067188</v>
      </c>
      <c r="L110" s="33">
        <f t="shared" si="25"/>
        <v>0</v>
      </c>
      <c r="M110" s="33">
        <f t="shared" si="18"/>
        <v>1519.3926380398113</v>
      </c>
      <c r="N110" s="33">
        <f t="shared" si="19"/>
        <v>729.1128370889323</v>
      </c>
      <c r="O110" s="33">
        <f t="shared" si="20"/>
        <v>29230.571176673668</v>
      </c>
      <c r="P110" s="33">
        <f t="shared" si="21"/>
        <v>2484.598550017262</v>
      </c>
      <c r="Q110" s="33">
        <f t="shared" si="22"/>
        <v>7073.798224755027</v>
      </c>
      <c r="R110" s="33">
        <f>(I110+J110)*18%*24.2%</f>
        <v>794.2169197561701</v>
      </c>
      <c r="S110" s="33">
        <f t="shared" si="23"/>
        <v>1444.9456752724773</v>
      </c>
      <c r="T110" s="34">
        <f t="shared" si="24"/>
        <v>41028.130546474604</v>
      </c>
      <c r="V110" s="7"/>
    </row>
    <row r="111" spans="1:22" s="5" customFormat="1" ht="12.75" hidden="1">
      <c r="A111" s="30" t="s">
        <v>9</v>
      </c>
      <c r="B111" s="31" t="s">
        <v>79</v>
      </c>
      <c r="C111" s="31">
        <v>1</v>
      </c>
      <c r="D111" s="31" t="s">
        <v>34</v>
      </c>
      <c r="E111" s="32" t="s">
        <v>84</v>
      </c>
      <c r="F111" s="32"/>
      <c r="G111" s="32"/>
      <c r="H111" s="32"/>
      <c r="I111" s="33">
        <f t="shared" si="25"/>
        <v>23193.170300763875</v>
      </c>
      <c r="J111" s="33">
        <f t="shared" si="25"/>
        <v>1855.4514341823394</v>
      </c>
      <c r="K111" s="33">
        <f t="shared" si="25"/>
        <v>9183.596055891394</v>
      </c>
      <c r="L111" s="33">
        <f t="shared" si="25"/>
        <v>5678.727931662448</v>
      </c>
      <c r="M111" s="33">
        <f t="shared" si="18"/>
        <v>2087.385144578851</v>
      </c>
      <c r="N111" s="33">
        <f t="shared" si="19"/>
        <v>765.2996713242828</v>
      </c>
      <c r="O111" s="33">
        <f t="shared" si="20"/>
        <v>42763.63053840319</v>
      </c>
      <c r="P111" s="33">
        <f t="shared" si="21"/>
        <v>3634.908595764271</v>
      </c>
      <c r="Q111" s="33">
        <f t="shared" si="22"/>
        <v>10348.79859029357</v>
      </c>
      <c r="R111" s="33"/>
      <c r="S111" s="33">
        <f t="shared" si="23"/>
        <v>1880.3835571405339</v>
      </c>
      <c r="T111" s="34">
        <f t="shared" si="24"/>
        <v>58627.72128160156</v>
      </c>
      <c r="V111" s="7"/>
    </row>
    <row r="112" spans="1:22" s="5" customFormat="1" ht="12.75" hidden="1">
      <c r="A112" s="30" t="s">
        <v>9</v>
      </c>
      <c r="B112" s="31" t="s">
        <v>79</v>
      </c>
      <c r="C112" s="31">
        <v>2</v>
      </c>
      <c r="D112" s="31" t="s">
        <v>31</v>
      </c>
      <c r="E112" s="32" t="s">
        <v>85</v>
      </c>
      <c r="F112" s="32"/>
      <c r="G112" s="32"/>
      <c r="H112" s="32"/>
      <c r="I112" s="33">
        <f t="shared" si="25"/>
        <v>16882.13677286662</v>
      </c>
      <c r="J112" s="33">
        <f t="shared" si="25"/>
        <v>2701.1497672222335</v>
      </c>
      <c r="K112" s="33">
        <f t="shared" si="25"/>
        <v>8749.354045067188</v>
      </c>
      <c r="L112" s="33">
        <f t="shared" si="25"/>
        <v>0</v>
      </c>
      <c r="M112" s="33">
        <f t="shared" si="18"/>
        <v>1631.9405450074044</v>
      </c>
      <c r="N112" s="33">
        <f t="shared" si="19"/>
        <v>729.1128370889323</v>
      </c>
      <c r="O112" s="33">
        <f t="shared" si="20"/>
        <v>30693.693967252377</v>
      </c>
      <c r="P112" s="33">
        <f t="shared" si="21"/>
        <v>2608.963987216452</v>
      </c>
      <c r="Q112" s="33">
        <f t="shared" si="22"/>
        <v>7427.873940075075</v>
      </c>
      <c r="R112" s="33">
        <f>(I112+J112)*18%*24.2%</f>
        <v>853.0479616862702</v>
      </c>
      <c r="S112" s="33">
        <f t="shared" si="23"/>
        <v>1528.051049777348</v>
      </c>
      <c r="T112" s="34">
        <f t="shared" si="24"/>
        <v>43111.63090600753</v>
      </c>
      <c r="V112" s="7"/>
    </row>
    <row r="113" spans="1:22" s="5" customFormat="1" ht="12.75" hidden="1">
      <c r="A113" s="30" t="s">
        <v>9</v>
      </c>
      <c r="B113" s="31" t="s">
        <v>79</v>
      </c>
      <c r="C113" s="31">
        <v>2</v>
      </c>
      <c r="D113" s="31" t="s">
        <v>34</v>
      </c>
      <c r="E113" s="32" t="s">
        <v>86</v>
      </c>
      <c r="F113" s="32" t="s">
        <v>87</v>
      </c>
      <c r="G113" s="32"/>
      <c r="H113" s="32"/>
      <c r="I113" s="33">
        <f t="shared" si="25"/>
        <v>23193.170300763875</v>
      </c>
      <c r="J113" s="33">
        <f t="shared" si="25"/>
        <v>3710.902868364679</v>
      </c>
      <c r="K113" s="33">
        <f t="shared" si="25"/>
        <v>9183.596055891394</v>
      </c>
      <c r="L113" s="33">
        <f t="shared" si="25"/>
        <v>5678.727931662448</v>
      </c>
      <c r="M113" s="33">
        <f t="shared" si="18"/>
        <v>2242.0060974273797</v>
      </c>
      <c r="N113" s="33">
        <f t="shared" si="19"/>
        <v>765.2996713242828</v>
      </c>
      <c r="O113" s="33">
        <f t="shared" si="20"/>
        <v>44773.70292543406</v>
      </c>
      <c r="P113" s="33">
        <f t="shared" si="21"/>
        <v>3805.7647486618953</v>
      </c>
      <c r="Q113" s="33">
        <f t="shared" si="22"/>
        <v>10835.236107955041</v>
      </c>
      <c r="R113" s="33"/>
      <c r="S113" s="33">
        <f t="shared" si="23"/>
        <v>1994.5556687238873</v>
      </c>
      <c r="T113" s="34">
        <f t="shared" si="24"/>
        <v>61409.25945077488</v>
      </c>
      <c r="V113" s="7"/>
    </row>
    <row r="114" spans="1:22" s="5" customFormat="1" ht="12.75" hidden="1">
      <c r="A114" s="30" t="s">
        <v>9</v>
      </c>
      <c r="B114" s="31" t="s">
        <v>79</v>
      </c>
      <c r="C114" s="31">
        <v>3</v>
      </c>
      <c r="D114" s="31" t="s">
        <v>31</v>
      </c>
      <c r="E114" s="32" t="s">
        <v>88</v>
      </c>
      <c r="F114" s="32" t="s">
        <v>89</v>
      </c>
      <c r="G114" s="32"/>
      <c r="H114" s="32"/>
      <c r="I114" s="33">
        <f aca="true" t="shared" si="26" ref="I114:L129">I36*1.0223</f>
        <v>16882.13677286662</v>
      </c>
      <c r="J114" s="33">
        <f t="shared" si="26"/>
        <v>4051.7246508333506</v>
      </c>
      <c r="K114" s="33">
        <f t="shared" si="26"/>
        <v>8749.354045067188</v>
      </c>
      <c r="L114" s="33">
        <f t="shared" si="26"/>
        <v>0</v>
      </c>
      <c r="M114" s="33">
        <f t="shared" si="18"/>
        <v>1744.4884519749976</v>
      </c>
      <c r="N114" s="33">
        <f t="shared" si="19"/>
        <v>729.1128370889323</v>
      </c>
      <c r="O114" s="33">
        <f t="shared" si="20"/>
        <v>32156.816757831086</v>
      </c>
      <c r="P114" s="33">
        <f t="shared" si="21"/>
        <v>2733.3294244156423</v>
      </c>
      <c r="Q114" s="33">
        <f t="shared" si="22"/>
        <v>7781.949655395122</v>
      </c>
      <c r="R114" s="33">
        <f>(I114+J114)*18%*24.2%</f>
        <v>911.8790036163707</v>
      </c>
      <c r="S114" s="33">
        <f t="shared" si="23"/>
        <v>1611.156424282219</v>
      </c>
      <c r="T114" s="34">
        <f t="shared" si="24"/>
        <v>45195.13126554044</v>
      </c>
      <c r="V114" s="7"/>
    </row>
    <row r="115" spans="1:22" s="5" customFormat="1" ht="12.75" hidden="1">
      <c r="A115" s="30" t="s">
        <v>9</v>
      </c>
      <c r="B115" s="31" t="s">
        <v>79</v>
      </c>
      <c r="C115" s="31">
        <v>3</v>
      </c>
      <c r="D115" s="31" t="s">
        <v>34</v>
      </c>
      <c r="E115" s="32" t="s">
        <v>90</v>
      </c>
      <c r="F115" s="32" t="s">
        <v>91</v>
      </c>
      <c r="G115" s="32"/>
      <c r="H115" s="32"/>
      <c r="I115" s="33">
        <f t="shared" si="26"/>
        <v>23193.170300763875</v>
      </c>
      <c r="J115" s="33">
        <f t="shared" si="26"/>
        <v>5566.354302547018</v>
      </c>
      <c r="K115" s="33">
        <f t="shared" si="26"/>
        <v>9183.596055891394</v>
      </c>
      <c r="L115" s="33">
        <f t="shared" si="26"/>
        <v>6489.968522246311</v>
      </c>
      <c r="M115" s="33">
        <f t="shared" si="18"/>
        <v>2396.6270502759075</v>
      </c>
      <c r="N115" s="33">
        <f t="shared" si="19"/>
        <v>765.2996713242828</v>
      </c>
      <c r="O115" s="33">
        <f t="shared" si="20"/>
        <v>47595.015903048785</v>
      </c>
      <c r="P115" s="33">
        <f t="shared" si="21"/>
        <v>4045.5763517591467</v>
      </c>
      <c r="Q115" s="33">
        <f t="shared" si="22"/>
        <v>11517.993848537804</v>
      </c>
      <c r="R115" s="33"/>
      <c r="S115" s="33">
        <f t="shared" si="23"/>
        <v>2108.72778030724</v>
      </c>
      <c r="T115" s="34">
        <f t="shared" si="24"/>
        <v>65267.313883652976</v>
      </c>
      <c r="V115" s="7"/>
    </row>
    <row r="116" spans="1:22" s="5" customFormat="1" ht="12.75" hidden="1">
      <c r="A116" s="30" t="s">
        <v>9</v>
      </c>
      <c r="B116" s="31" t="s">
        <v>79</v>
      </c>
      <c r="C116" s="31">
        <v>4</v>
      </c>
      <c r="D116" s="31" t="s">
        <v>31</v>
      </c>
      <c r="E116" s="32" t="s">
        <v>92</v>
      </c>
      <c r="F116" s="32"/>
      <c r="G116" s="32"/>
      <c r="H116" s="32"/>
      <c r="I116" s="33">
        <f t="shared" si="26"/>
        <v>16882.13677286662</v>
      </c>
      <c r="J116" s="33">
        <f t="shared" si="26"/>
        <v>5402.299534444467</v>
      </c>
      <c r="K116" s="33">
        <f t="shared" si="26"/>
        <v>8749.354045067188</v>
      </c>
      <c r="L116" s="33">
        <f t="shared" si="26"/>
        <v>0</v>
      </c>
      <c r="M116" s="33">
        <f t="shared" si="18"/>
        <v>1857.0363589425906</v>
      </c>
      <c r="N116" s="33">
        <f t="shared" si="19"/>
        <v>729.1128370889323</v>
      </c>
      <c r="O116" s="33">
        <f t="shared" si="20"/>
        <v>33619.9395484098</v>
      </c>
      <c r="P116" s="33">
        <f t="shared" si="21"/>
        <v>2857.694861614833</v>
      </c>
      <c r="Q116" s="33">
        <f t="shared" si="22"/>
        <v>8136.0253707151705</v>
      </c>
      <c r="R116" s="33">
        <f>(I116+J116)*18%*24.2%</f>
        <v>970.710045546471</v>
      </c>
      <c r="S116" s="33">
        <f t="shared" si="23"/>
        <v>1694.2617987870897</v>
      </c>
      <c r="T116" s="34">
        <f t="shared" si="24"/>
        <v>47278.631625073365</v>
      </c>
      <c r="V116" s="7"/>
    </row>
    <row r="117" spans="1:22" s="5" customFormat="1" ht="12.75" hidden="1">
      <c r="A117" s="30" t="s">
        <v>9</v>
      </c>
      <c r="B117" s="31" t="s">
        <v>79</v>
      </c>
      <c r="C117" s="31">
        <v>4</v>
      </c>
      <c r="D117" s="31" t="s">
        <v>34</v>
      </c>
      <c r="E117" s="32" t="s">
        <v>93</v>
      </c>
      <c r="F117" s="32" t="s">
        <v>94</v>
      </c>
      <c r="G117" s="32"/>
      <c r="H117" s="32"/>
      <c r="I117" s="33">
        <f t="shared" si="26"/>
        <v>23193.170300763875</v>
      </c>
      <c r="J117" s="33">
        <f t="shared" si="26"/>
        <v>7421.805736729358</v>
      </c>
      <c r="K117" s="33">
        <f t="shared" si="26"/>
        <v>9183.596055891394</v>
      </c>
      <c r="L117" s="33">
        <f t="shared" si="26"/>
        <v>6489.968522246311</v>
      </c>
      <c r="M117" s="33">
        <f t="shared" si="18"/>
        <v>2551.2480031244363</v>
      </c>
      <c r="N117" s="33">
        <f t="shared" si="19"/>
        <v>765.2996713242828</v>
      </c>
      <c r="O117" s="33">
        <f t="shared" si="20"/>
        <v>49605.08829007966</v>
      </c>
      <c r="P117" s="33">
        <f t="shared" si="21"/>
        <v>4216.432504656771</v>
      </c>
      <c r="Q117" s="33">
        <f t="shared" si="22"/>
        <v>12004.431366199276</v>
      </c>
      <c r="R117" s="33"/>
      <c r="S117" s="33">
        <f t="shared" si="23"/>
        <v>2222.8998918905936</v>
      </c>
      <c r="T117" s="34">
        <f t="shared" si="24"/>
        <v>68048.8520528263</v>
      </c>
      <c r="V117" s="7"/>
    </row>
    <row r="118" spans="1:22" s="5" customFormat="1" ht="12.75" hidden="1">
      <c r="A118" s="30" t="s">
        <v>9</v>
      </c>
      <c r="B118" s="31" t="s">
        <v>79</v>
      </c>
      <c r="C118" s="31">
        <v>5</v>
      </c>
      <c r="D118" s="31" t="s">
        <v>31</v>
      </c>
      <c r="E118" s="32" t="s">
        <v>95</v>
      </c>
      <c r="F118" s="32"/>
      <c r="G118" s="32"/>
      <c r="H118" s="32"/>
      <c r="I118" s="33">
        <f t="shared" si="26"/>
        <v>16882.13677286662</v>
      </c>
      <c r="J118" s="33">
        <f t="shared" si="26"/>
        <v>6752.874418055584</v>
      </c>
      <c r="K118" s="33">
        <f t="shared" si="26"/>
        <v>8749.354045067188</v>
      </c>
      <c r="L118" s="33">
        <f t="shared" si="26"/>
        <v>0</v>
      </c>
      <c r="M118" s="33">
        <f t="shared" si="18"/>
        <v>1969.5842659101836</v>
      </c>
      <c r="N118" s="33">
        <f t="shared" si="19"/>
        <v>729.1128370889323</v>
      </c>
      <c r="O118" s="33">
        <f t="shared" si="20"/>
        <v>35083.06233898851</v>
      </c>
      <c r="P118" s="33">
        <f t="shared" si="21"/>
        <v>2982.060298814023</v>
      </c>
      <c r="Q118" s="33">
        <f t="shared" si="22"/>
        <v>8490.101086035218</v>
      </c>
      <c r="R118" s="33">
        <f>(I118+J118)*18%*24.2%</f>
        <v>1029.541087476571</v>
      </c>
      <c r="S118" s="33">
        <f t="shared" si="23"/>
        <v>1777.3671732919602</v>
      </c>
      <c r="T118" s="34">
        <f t="shared" si="24"/>
        <v>49362.13198460628</v>
      </c>
      <c r="V118" s="7"/>
    </row>
    <row r="119" spans="1:22" s="5" customFormat="1" ht="12.75" hidden="1">
      <c r="A119" s="30" t="s">
        <v>9</v>
      </c>
      <c r="B119" s="31" t="s">
        <v>79</v>
      </c>
      <c r="C119" s="31">
        <v>5</v>
      </c>
      <c r="D119" s="31" t="s">
        <v>34</v>
      </c>
      <c r="E119" s="32" t="s">
        <v>96</v>
      </c>
      <c r="F119" s="32" t="s">
        <v>97</v>
      </c>
      <c r="G119" s="32"/>
      <c r="H119" s="32"/>
      <c r="I119" s="33">
        <f t="shared" si="26"/>
        <v>23193.170300763875</v>
      </c>
      <c r="J119" s="33">
        <f t="shared" si="26"/>
        <v>9277.2571709117</v>
      </c>
      <c r="K119" s="33">
        <f t="shared" si="26"/>
        <v>9183.596055891394</v>
      </c>
      <c r="L119" s="33">
        <f t="shared" si="26"/>
        <v>7301.220062224024</v>
      </c>
      <c r="M119" s="33">
        <f t="shared" si="18"/>
        <v>2705.8689559729646</v>
      </c>
      <c r="N119" s="33">
        <f t="shared" si="19"/>
        <v>765.2996713242828</v>
      </c>
      <c r="O119" s="33">
        <f t="shared" si="20"/>
        <v>52426.41221708824</v>
      </c>
      <c r="P119" s="33">
        <f t="shared" si="21"/>
        <v>4456.245038452501</v>
      </c>
      <c r="Q119" s="33">
        <f t="shared" si="22"/>
        <v>12687.191756535354</v>
      </c>
      <c r="R119" s="33"/>
      <c r="S119" s="33">
        <f t="shared" si="23"/>
        <v>2337.0720034739475</v>
      </c>
      <c r="T119" s="34">
        <f t="shared" si="24"/>
        <v>71906.92101555005</v>
      </c>
      <c r="V119" s="7"/>
    </row>
    <row r="120" spans="1:22" s="5" customFormat="1" ht="12.75" hidden="1">
      <c r="A120" s="30" t="s">
        <v>9</v>
      </c>
      <c r="B120" s="31" t="s">
        <v>79</v>
      </c>
      <c r="C120" s="31">
        <v>6</v>
      </c>
      <c r="D120" s="31" t="s">
        <v>31</v>
      </c>
      <c r="E120" s="32" t="s">
        <v>98</v>
      </c>
      <c r="F120" s="32" t="s">
        <v>99</v>
      </c>
      <c r="G120" s="32"/>
      <c r="H120" s="32"/>
      <c r="I120" s="33">
        <f t="shared" si="26"/>
        <v>16882.13677286662</v>
      </c>
      <c r="J120" s="33">
        <f t="shared" si="26"/>
        <v>8103.449301666701</v>
      </c>
      <c r="K120" s="33">
        <f t="shared" si="26"/>
        <v>8749.354045067188</v>
      </c>
      <c r="L120" s="33">
        <f t="shared" si="26"/>
        <v>0</v>
      </c>
      <c r="M120" s="33">
        <f t="shared" si="18"/>
        <v>2082.1321728777766</v>
      </c>
      <c r="N120" s="33">
        <f t="shared" si="19"/>
        <v>729.1128370889323</v>
      </c>
      <c r="O120" s="33">
        <f t="shared" si="20"/>
        <v>36546.18512956722</v>
      </c>
      <c r="P120" s="33">
        <f t="shared" si="21"/>
        <v>3106.4257360132133</v>
      </c>
      <c r="Q120" s="33">
        <f t="shared" si="22"/>
        <v>8844.176801355266</v>
      </c>
      <c r="R120" s="33">
        <f>(I120+J120)*18%*24.2%</f>
        <v>1088.3721294066713</v>
      </c>
      <c r="S120" s="33">
        <f t="shared" si="23"/>
        <v>1860.472547796831</v>
      </c>
      <c r="T120" s="34">
        <f t="shared" si="24"/>
        <v>51445.632344139194</v>
      </c>
      <c r="V120" s="7"/>
    </row>
    <row r="121" spans="1:22" s="5" customFormat="1" ht="12.75" hidden="1">
      <c r="A121" s="30" t="s">
        <v>9</v>
      </c>
      <c r="B121" s="31" t="s">
        <v>79</v>
      </c>
      <c r="C121" s="31">
        <v>6</v>
      </c>
      <c r="D121" s="31" t="s">
        <v>34</v>
      </c>
      <c r="E121" s="32" t="s">
        <v>100</v>
      </c>
      <c r="F121" s="32" t="s">
        <v>101</v>
      </c>
      <c r="G121" s="32"/>
      <c r="H121" s="32"/>
      <c r="I121" s="33">
        <f t="shared" si="26"/>
        <v>23193.170300763875</v>
      </c>
      <c r="J121" s="33">
        <f t="shared" si="26"/>
        <v>11132.708605094036</v>
      </c>
      <c r="K121" s="33">
        <f t="shared" si="26"/>
        <v>9183.596055891394</v>
      </c>
      <c r="L121" s="33">
        <f t="shared" si="26"/>
        <v>8112.460652807889</v>
      </c>
      <c r="M121" s="33">
        <f t="shared" si="18"/>
        <v>2860.489908821493</v>
      </c>
      <c r="N121" s="33">
        <f t="shared" si="19"/>
        <v>765.2996713242828</v>
      </c>
      <c r="O121" s="33">
        <f t="shared" si="20"/>
        <v>55247.72519470297</v>
      </c>
      <c r="P121" s="33">
        <f t="shared" si="21"/>
        <v>4696.056641549752</v>
      </c>
      <c r="Q121" s="33">
        <f t="shared" si="22"/>
        <v>13369.94949711812</v>
      </c>
      <c r="R121" s="33"/>
      <c r="S121" s="33">
        <f t="shared" si="23"/>
        <v>2451.2441150573004</v>
      </c>
      <c r="T121" s="34">
        <f t="shared" si="24"/>
        <v>75764.97544842814</v>
      </c>
      <c r="V121" s="7"/>
    </row>
    <row r="122" spans="1:22" s="5" customFormat="1" ht="12.75" hidden="1">
      <c r="A122" s="30" t="s">
        <v>9</v>
      </c>
      <c r="B122" s="31" t="s">
        <v>79</v>
      </c>
      <c r="C122" s="31">
        <v>7</v>
      </c>
      <c r="D122" s="31" t="s">
        <v>34</v>
      </c>
      <c r="E122" s="32" t="s">
        <v>102</v>
      </c>
      <c r="F122" s="32" t="s">
        <v>103</v>
      </c>
      <c r="G122" s="32"/>
      <c r="H122" s="32"/>
      <c r="I122" s="33">
        <f t="shared" si="26"/>
        <v>23193.170300763875</v>
      </c>
      <c r="J122" s="33">
        <f t="shared" si="26"/>
        <v>13192.2786394878</v>
      </c>
      <c r="K122" s="33">
        <f t="shared" si="26"/>
        <v>9183.596055891394</v>
      </c>
      <c r="L122" s="33">
        <f t="shared" si="26"/>
        <v>8112.460652807889</v>
      </c>
      <c r="M122" s="33">
        <f t="shared" si="18"/>
        <v>3032.120745020973</v>
      </c>
      <c r="N122" s="33">
        <f t="shared" si="19"/>
        <v>765.2996713242828</v>
      </c>
      <c r="O122" s="33">
        <f t="shared" si="20"/>
        <v>57478.92606529622</v>
      </c>
      <c r="P122" s="33">
        <f t="shared" si="21"/>
        <v>4885.708715550179</v>
      </c>
      <c r="Q122" s="33">
        <f t="shared" si="22"/>
        <v>13909.900107801684</v>
      </c>
      <c r="R122" s="33"/>
      <c r="S122" s="33">
        <f t="shared" si="23"/>
        <v>2577.976324506997</v>
      </c>
      <c r="T122" s="34">
        <f t="shared" si="24"/>
        <v>78852.51121315507</v>
      </c>
      <c r="V122" s="7"/>
    </row>
    <row r="123" spans="1:22" s="5" customFormat="1" ht="12.75" hidden="1">
      <c r="A123" s="30" t="s">
        <v>9</v>
      </c>
      <c r="B123" s="31" t="s">
        <v>79</v>
      </c>
      <c r="C123" s="31">
        <v>8</v>
      </c>
      <c r="D123" s="31" t="s">
        <v>34</v>
      </c>
      <c r="E123" s="32" t="s">
        <v>104</v>
      </c>
      <c r="F123" s="32" t="s">
        <v>105</v>
      </c>
      <c r="G123" s="32"/>
      <c r="H123" s="32"/>
      <c r="I123" s="33">
        <f t="shared" si="26"/>
        <v>23193.170300763875</v>
      </c>
      <c r="J123" s="33">
        <f t="shared" si="26"/>
        <v>15251.826775093856</v>
      </c>
      <c r="K123" s="33">
        <f t="shared" si="26"/>
        <v>9183.596055891394</v>
      </c>
      <c r="L123" s="33">
        <f t="shared" si="26"/>
        <v>8112.460652807889</v>
      </c>
      <c r="M123" s="33">
        <f t="shared" si="18"/>
        <v>3203.749756321478</v>
      </c>
      <c r="N123" s="33">
        <f t="shared" si="19"/>
        <v>765.2996713242828</v>
      </c>
      <c r="O123" s="33">
        <f t="shared" si="20"/>
        <v>59710.103212202775</v>
      </c>
      <c r="P123" s="33">
        <f t="shared" si="21"/>
        <v>5075.358773037236</v>
      </c>
      <c r="Q123" s="33">
        <f t="shared" si="22"/>
        <v>14449.84497735307</v>
      </c>
      <c r="R123" s="33"/>
      <c r="S123" s="33">
        <f t="shared" si="23"/>
        <v>2704.707186451289</v>
      </c>
      <c r="T123" s="34">
        <f t="shared" si="24"/>
        <v>81940.01414904436</v>
      </c>
      <c r="V123" s="7"/>
    </row>
    <row r="124" spans="1:22" s="5" customFormat="1" ht="12.75" hidden="1">
      <c r="A124" s="30" t="s">
        <v>9</v>
      </c>
      <c r="B124" s="31" t="s">
        <v>79</v>
      </c>
      <c r="C124" s="31">
        <v>9</v>
      </c>
      <c r="D124" s="31" t="s">
        <v>34</v>
      </c>
      <c r="E124" s="32" t="s">
        <v>106</v>
      </c>
      <c r="F124" s="32" t="s">
        <v>107</v>
      </c>
      <c r="G124" s="32"/>
      <c r="H124" s="32"/>
      <c r="I124" s="33">
        <f t="shared" si="26"/>
        <v>23193.170300763875</v>
      </c>
      <c r="J124" s="33">
        <f t="shared" si="26"/>
        <v>17311.385860093767</v>
      </c>
      <c r="K124" s="33">
        <f t="shared" si="26"/>
        <v>9183.596055891394</v>
      </c>
      <c r="L124" s="33">
        <f t="shared" si="26"/>
        <v>8112.460652807889</v>
      </c>
      <c r="M124" s="33">
        <f t="shared" si="18"/>
        <v>3375.37968007147</v>
      </c>
      <c r="N124" s="33">
        <f t="shared" si="19"/>
        <v>765.2996713242828</v>
      </c>
      <c r="O124" s="33">
        <f t="shared" si="20"/>
        <v>61941.29222095267</v>
      </c>
      <c r="P124" s="33">
        <f t="shared" si="21"/>
        <v>5265.009838780978</v>
      </c>
      <c r="Q124" s="33">
        <f t="shared" si="22"/>
        <v>14989.792717470546</v>
      </c>
      <c r="R124" s="33"/>
      <c r="S124" s="33">
        <f t="shared" si="23"/>
        <v>2831.438722148284</v>
      </c>
      <c r="T124" s="34">
        <f t="shared" si="24"/>
        <v>85027.53349935249</v>
      </c>
      <c r="V124" s="7"/>
    </row>
    <row r="125" spans="1:22" s="5" customFormat="1" ht="12.75" hidden="1">
      <c r="A125" s="30" t="s">
        <v>9</v>
      </c>
      <c r="B125" s="31" t="s">
        <v>79</v>
      </c>
      <c r="C125" s="31">
        <v>10</v>
      </c>
      <c r="D125" s="31" t="s">
        <v>34</v>
      </c>
      <c r="E125" s="32" t="s">
        <v>108</v>
      </c>
      <c r="F125" s="32" t="s">
        <v>109</v>
      </c>
      <c r="G125" s="32"/>
      <c r="H125" s="32"/>
      <c r="I125" s="33">
        <f t="shared" si="26"/>
        <v>23193.170300763875</v>
      </c>
      <c r="J125" s="33">
        <f t="shared" si="26"/>
        <v>19370.933995699823</v>
      </c>
      <c r="K125" s="33">
        <f t="shared" si="26"/>
        <v>9183.596055891394</v>
      </c>
      <c r="L125" s="33">
        <f t="shared" si="26"/>
        <v>8112.460652807889</v>
      </c>
      <c r="M125" s="33">
        <f t="shared" si="18"/>
        <v>3547.008691371975</v>
      </c>
      <c r="N125" s="33">
        <f t="shared" si="19"/>
        <v>765.2996713242828</v>
      </c>
      <c r="O125" s="33">
        <f t="shared" si="20"/>
        <v>64172.46936785924</v>
      </c>
      <c r="P125" s="33">
        <f t="shared" si="21"/>
        <v>5454.6598962680355</v>
      </c>
      <c r="Q125" s="33">
        <f t="shared" si="22"/>
        <v>15529.737587021933</v>
      </c>
      <c r="R125" s="33"/>
      <c r="S125" s="33">
        <f t="shared" si="23"/>
        <v>2958.1695840925768</v>
      </c>
      <c r="T125" s="34">
        <f t="shared" si="24"/>
        <v>88115.0364352418</v>
      </c>
      <c r="V125" s="7"/>
    </row>
    <row r="126" spans="1:22" s="5" customFormat="1" ht="12.75" hidden="1">
      <c r="A126" s="30" t="s">
        <v>9</v>
      </c>
      <c r="B126" s="31" t="s">
        <v>79</v>
      </c>
      <c r="C126" s="31">
        <v>11</v>
      </c>
      <c r="D126" s="31" t="s">
        <v>34</v>
      </c>
      <c r="E126" s="32" t="s">
        <v>110</v>
      </c>
      <c r="F126" s="32" t="s">
        <v>111</v>
      </c>
      <c r="G126" s="32"/>
      <c r="H126" s="32"/>
      <c r="I126" s="33">
        <f t="shared" si="26"/>
        <v>23193.170300763875</v>
      </c>
      <c r="J126" s="33">
        <f t="shared" si="26"/>
        <v>21430.493080699733</v>
      </c>
      <c r="K126" s="33">
        <f t="shared" si="26"/>
        <v>9183.596055891394</v>
      </c>
      <c r="L126" s="33">
        <f t="shared" si="26"/>
        <v>8112.460652807889</v>
      </c>
      <c r="M126" s="33">
        <f t="shared" si="18"/>
        <v>3718.638615121967</v>
      </c>
      <c r="N126" s="33">
        <f t="shared" si="19"/>
        <v>765.2996713242828</v>
      </c>
      <c r="O126" s="33">
        <f t="shared" si="20"/>
        <v>66403.65837660915</v>
      </c>
      <c r="P126" s="33">
        <f t="shared" si="21"/>
        <v>5644.310962011778</v>
      </c>
      <c r="Q126" s="33">
        <f t="shared" si="22"/>
        <v>16069.685327139414</v>
      </c>
      <c r="R126" s="33"/>
      <c r="S126" s="33">
        <f t="shared" si="23"/>
        <v>3084.9011197895716</v>
      </c>
      <c r="T126" s="34">
        <f t="shared" si="24"/>
        <v>91202.55578554992</v>
      </c>
      <c r="V126" s="7"/>
    </row>
    <row r="127" spans="1:22" s="5" customFormat="1" ht="12.75" hidden="1">
      <c r="A127" s="30" t="s">
        <v>9</v>
      </c>
      <c r="B127" s="31" t="s">
        <v>79</v>
      </c>
      <c r="C127" s="31">
        <v>12</v>
      </c>
      <c r="D127" s="31" t="s">
        <v>34</v>
      </c>
      <c r="E127" s="32" t="s">
        <v>112</v>
      </c>
      <c r="F127" s="32" t="s">
        <v>113</v>
      </c>
      <c r="G127" s="32"/>
      <c r="H127" s="32"/>
      <c r="I127" s="33">
        <f t="shared" si="26"/>
        <v>23193.170300763875</v>
      </c>
      <c r="J127" s="33">
        <f t="shared" si="26"/>
        <v>23490.041216305788</v>
      </c>
      <c r="K127" s="33">
        <f t="shared" si="26"/>
        <v>9183.596055891394</v>
      </c>
      <c r="L127" s="33">
        <f t="shared" si="26"/>
        <v>8112.460652807889</v>
      </c>
      <c r="M127" s="33">
        <f t="shared" si="18"/>
        <v>3890.267626422472</v>
      </c>
      <c r="N127" s="33">
        <f t="shared" si="19"/>
        <v>765.2996713242828</v>
      </c>
      <c r="O127" s="33">
        <f t="shared" si="20"/>
        <v>68634.8355235157</v>
      </c>
      <c r="P127" s="33">
        <f t="shared" si="21"/>
        <v>5833.961019498835</v>
      </c>
      <c r="Q127" s="33">
        <f t="shared" si="22"/>
        <v>16609.630196690803</v>
      </c>
      <c r="R127" s="33"/>
      <c r="S127" s="33">
        <f t="shared" si="23"/>
        <v>3211.6319817338635</v>
      </c>
      <c r="T127" s="34">
        <f t="shared" si="24"/>
        <v>94290.05872143921</v>
      </c>
      <c r="V127" s="7"/>
    </row>
    <row r="128" spans="1:22" s="5" customFormat="1" ht="12.75" hidden="1">
      <c r="A128" s="30" t="s">
        <v>9</v>
      </c>
      <c r="B128" s="31" t="s">
        <v>79</v>
      </c>
      <c r="C128" s="31">
        <v>13</v>
      </c>
      <c r="D128" s="31" t="s">
        <v>34</v>
      </c>
      <c r="E128" s="32" t="s">
        <v>114</v>
      </c>
      <c r="F128" s="32" t="s">
        <v>115</v>
      </c>
      <c r="G128" s="32"/>
      <c r="H128" s="32"/>
      <c r="I128" s="33">
        <f t="shared" si="26"/>
        <v>23193.170300763875</v>
      </c>
      <c r="J128" s="33">
        <f t="shared" si="26"/>
        <v>25549.600301305698</v>
      </c>
      <c r="K128" s="33">
        <f t="shared" si="26"/>
        <v>9183.596055891394</v>
      </c>
      <c r="L128" s="33">
        <f t="shared" si="26"/>
        <v>8112.460652807889</v>
      </c>
      <c r="M128" s="33">
        <f t="shared" si="18"/>
        <v>4061.897550172465</v>
      </c>
      <c r="N128" s="33">
        <f t="shared" si="19"/>
        <v>765.2996713242828</v>
      </c>
      <c r="O128" s="33">
        <f t="shared" si="20"/>
        <v>70866.02453226561</v>
      </c>
      <c r="P128" s="33">
        <f t="shared" si="21"/>
        <v>6023.6120852425765</v>
      </c>
      <c r="Q128" s="33">
        <f t="shared" si="22"/>
        <v>17149.577936808277</v>
      </c>
      <c r="R128" s="33"/>
      <c r="S128" s="33">
        <f t="shared" si="23"/>
        <v>3338.3635174308583</v>
      </c>
      <c r="T128" s="34">
        <f t="shared" si="24"/>
        <v>97377.57807174732</v>
      </c>
      <c r="V128" s="7"/>
    </row>
    <row r="129" spans="1:22" s="5" customFormat="1" ht="13.5" hidden="1" thickBot="1">
      <c r="A129" s="35" t="s">
        <v>9</v>
      </c>
      <c r="B129" s="36" t="s">
        <v>79</v>
      </c>
      <c r="C129" s="36">
        <v>14</v>
      </c>
      <c r="D129" s="36" t="s">
        <v>34</v>
      </c>
      <c r="E129" s="37" t="s">
        <v>116</v>
      </c>
      <c r="F129" s="37" t="s">
        <v>117</v>
      </c>
      <c r="G129" s="37"/>
      <c r="H129" s="37"/>
      <c r="I129" s="38">
        <f t="shared" si="26"/>
        <v>23193.170300763875</v>
      </c>
      <c r="J129" s="38">
        <f t="shared" si="26"/>
        <v>27609.148436911753</v>
      </c>
      <c r="K129" s="38">
        <f t="shared" si="26"/>
        <v>9183.596055891394</v>
      </c>
      <c r="L129" s="38">
        <f t="shared" si="26"/>
        <v>8112.460652807889</v>
      </c>
      <c r="M129" s="38">
        <f t="shared" si="18"/>
        <v>4233.526561472969</v>
      </c>
      <c r="N129" s="38">
        <f t="shared" si="19"/>
        <v>765.2996713242828</v>
      </c>
      <c r="O129" s="38">
        <f t="shared" si="20"/>
        <v>73097.20167917217</v>
      </c>
      <c r="P129" s="38">
        <f t="shared" si="21"/>
        <v>6213.262142729634</v>
      </c>
      <c r="Q129" s="38">
        <f t="shared" si="22"/>
        <v>17689.522806359666</v>
      </c>
      <c r="R129" s="38"/>
      <c r="S129" s="38">
        <f t="shared" si="23"/>
        <v>3465.0943793751503</v>
      </c>
      <c r="T129" s="39">
        <f t="shared" si="24"/>
        <v>100465.08100763663</v>
      </c>
      <c r="V129" s="7"/>
    </row>
    <row r="130" spans="1:22" s="5" customFormat="1" ht="12.75" hidden="1">
      <c r="A130" s="40" t="s">
        <v>8</v>
      </c>
      <c r="B130" s="41" t="s">
        <v>118</v>
      </c>
      <c r="C130" s="41" t="s">
        <v>119</v>
      </c>
      <c r="D130" s="41"/>
      <c r="E130" s="42" t="s">
        <v>120</v>
      </c>
      <c r="F130" s="42" t="s">
        <v>121</v>
      </c>
      <c r="G130" s="42"/>
      <c r="H130" s="42"/>
      <c r="I130" s="43">
        <f aca="true" t="shared" si="27" ref="I130:L145">I52*1.0223</f>
        <v>11265.316714050188</v>
      </c>
      <c r="J130" s="43">
        <f t="shared" si="27"/>
        <v>0</v>
      </c>
      <c r="K130" s="43">
        <f t="shared" si="27"/>
        <v>8358.263595418457</v>
      </c>
      <c r="L130" s="43">
        <f t="shared" si="27"/>
        <v>0</v>
      </c>
      <c r="M130" s="43">
        <f t="shared" si="18"/>
        <v>938.7763928375157</v>
      </c>
      <c r="N130" s="43">
        <f t="shared" si="19"/>
        <v>696.5219662848714</v>
      </c>
      <c r="O130" s="43">
        <f t="shared" si="20"/>
        <v>21258.878668591035</v>
      </c>
      <c r="P130" s="43">
        <f t="shared" si="21"/>
        <v>1807.004686830238</v>
      </c>
      <c r="Q130" s="43">
        <f t="shared" si="22"/>
        <v>5144.64863779903</v>
      </c>
      <c r="R130" s="33">
        <f>(I130+J130)*18%*24.2%</f>
        <v>490.71719606402615</v>
      </c>
      <c r="S130" s="43">
        <f t="shared" si="23"/>
        <v>1001.779580414071</v>
      </c>
      <c r="T130" s="44">
        <f t="shared" si="24"/>
        <v>29703.028769698398</v>
      </c>
      <c r="V130" s="7"/>
    </row>
    <row r="131" spans="1:22" s="5" customFormat="1" ht="12.75" hidden="1">
      <c r="A131" s="30" t="s">
        <v>8</v>
      </c>
      <c r="B131" s="31" t="s">
        <v>118</v>
      </c>
      <c r="C131" s="31" t="s">
        <v>122</v>
      </c>
      <c r="D131" s="31"/>
      <c r="E131" s="32" t="s">
        <v>120</v>
      </c>
      <c r="F131" s="32"/>
      <c r="G131" s="32"/>
      <c r="H131" s="32"/>
      <c r="I131" s="33">
        <f t="shared" si="27"/>
        <v>14998.256332483823</v>
      </c>
      <c r="J131" s="33">
        <f t="shared" si="27"/>
        <v>0</v>
      </c>
      <c r="K131" s="33">
        <f t="shared" si="27"/>
        <v>6343.402126006098</v>
      </c>
      <c r="L131" s="33">
        <f t="shared" si="27"/>
        <v>3407.233474179314</v>
      </c>
      <c r="M131" s="33">
        <f t="shared" si="18"/>
        <v>1249.854694373652</v>
      </c>
      <c r="N131" s="33">
        <f t="shared" si="19"/>
        <v>528.6168438338415</v>
      </c>
      <c r="O131" s="33">
        <f t="shared" si="20"/>
        <v>26527.363470876728</v>
      </c>
      <c r="P131" s="33">
        <f t="shared" si="21"/>
        <v>2254.8258950245217</v>
      </c>
      <c r="Q131" s="33">
        <f t="shared" si="22"/>
        <v>6419.621959952168</v>
      </c>
      <c r="R131" s="33"/>
      <c r="S131" s="33">
        <f t="shared" si="23"/>
        <v>1157.0911128176497</v>
      </c>
      <c r="T131" s="34">
        <f t="shared" si="24"/>
        <v>36358.902438671066</v>
      </c>
      <c r="V131" s="7"/>
    </row>
    <row r="132" spans="1:22" s="5" customFormat="1" ht="12.75" hidden="1">
      <c r="A132" s="30" t="s">
        <v>8</v>
      </c>
      <c r="B132" s="31" t="s">
        <v>123</v>
      </c>
      <c r="C132" s="31">
        <v>0</v>
      </c>
      <c r="D132" s="31" t="s">
        <v>31</v>
      </c>
      <c r="E132" s="32" t="s">
        <v>124</v>
      </c>
      <c r="F132" s="32" t="s">
        <v>125</v>
      </c>
      <c r="G132" s="32"/>
      <c r="H132" s="32"/>
      <c r="I132" s="33">
        <f t="shared" si="27"/>
        <v>12148.856152246753</v>
      </c>
      <c r="J132" s="33">
        <f t="shared" si="27"/>
        <v>0</v>
      </c>
      <c r="K132" s="33">
        <f t="shared" si="27"/>
        <v>8436.376571167213</v>
      </c>
      <c r="L132" s="33">
        <f t="shared" si="27"/>
        <v>0</v>
      </c>
      <c r="M132" s="33">
        <f t="shared" si="18"/>
        <v>1012.4046793538961</v>
      </c>
      <c r="N132" s="33">
        <f t="shared" si="19"/>
        <v>703.0313809306011</v>
      </c>
      <c r="O132" s="33">
        <f t="shared" si="20"/>
        <v>22300.668783698464</v>
      </c>
      <c r="P132" s="33">
        <f t="shared" si="21"/>
        <v>1895.5568466143695</v>
      </c>
      <c r="Q132" s="33">
        <f t="shared" si="22"/>
        <v>5396.761845655028</v>
      </c>
      <c r="R132" s="33">
        <f>(I132+J132)*18%*24.2%</f>
        <v>529.2041739918685</v>
      </c>
      <c r="S132" s="33">
        <f t="shared" si="23"/>
        <v>1059.0306382424103</v>
      </c>
      <c r="T132" s="34">
        <f t="shared" si="24"/>
        <v>31181.22228820214</v>
      </c>
      <c r="V132" s="7"/>
    </row>
    <row r="133" spans="1:22" s="5" customFormat="1" ht="12.75" hidden="1">
      <c r="A133" s="30" t="s">
        <v>8</v>
      </c>
      <c r="B133" s="31" t="s">
        <v>123</v>
      </c>
      <c r="C133" s="31">
        <v>0</v>
      </c>
      <c r="D133" s="31" t="s">
        <v>34</v>
      </c>
      <c r="E133" s="32" t="s">
        <v>126</v>
      </c>
      <c r="F133" s="32" t="s">
        <v>127</v>
      </c>
      <c r="G133" s="32"/>
      <c r="H133" s="32"/>
      <c r="I133" s="33">
        <f t="shared" si="27"/>
        <v>16566.586191411145</v>
      </c>
      <c r="J133" s="33">
        <f t="shared" si="27"/>
        <v>0</v>
      </c>
      <c r="K133" s="33">
        <f t="shared" si="27"/>
        <v>8662.897631202291</v>
      </c>
      <c r="L133" s="33">
        <f t="shared" si="27"/>
        <v>3407.232379239928</v>
      </c>
      <c r="M133" s="33">
        <f t="shared" si="18"/>
        <v>1380.5488492842621</v>
      </c>
      <c r="N133" s="33">
        <f t="shared" si="19"/>
        <v>721.9081359335242</v>
      </c>
      <c r="O133" s="33">
        <f t="shared" si="20"/>
        <v>30739.173187071156</v>
      </c>
      <c r="P133" s="33">
        <f t="shared" si="21"/>
        <v>2612.8297209010484</v>
      </c>
      <c r="Q133" s="33">
        <f t="shared" si="22"/>
        <v>7438.8799112712195</v>
      </c>
      <c r="R133" s="33"/>
      <c r="S133" s="33">
        <f t="shared" si="23"/>
        <v>1339.2314508554878</v>
      </c>
      <c r="T133" s="34">
        <f t="shared" si="24"/>
        <v>42130.11427009891</v>
      </c>
      <c r="V133" s="7"/>
    </row>
    <row r="134" spans="1:22" s="5" customFormat="1" ht="12.75" hidden="1">
      <c r="A134" s="30" t="s">
        <v>8</v>
      </c>
      <c r="B134" s="31" t="s">
        <v>123</v>
      </c>
      <c r="C134" s="31">
        <v>1</v>
      </c>
      <c r="D134" s="31" t="s">
        <v>31</v>
      </c>
      <c r="E134" s="32" t="s">
        <v>128</v>
      </c>
      <c r="F134" s="32"/>
      <c r="G134" s="32"/>
      <c r="H134" s="32"/>
      <c r="I134" s="33">
        <f t="shared" si="27"/>
        <v>12148.856152246753</v>
      </c>
      <c r="J134" s="33">
        <f t="shared" si="27"/>
        <v>971.9119959857733</v>
      </c>
      <c r="K134" s="33">
        <f t="shared" si="27"/>
        <v>8436.376571167213</v>
      </c>
      <c r="L134" s="33">
        <f t="shared" si="27"/>
        <v>0</v>
      </c>
      <c r="M134" s="33">
        <f t="shared" si="18"/>
        <v>1093.3973456860438</v>
      </c>
      <c r="N134" s="33">
        <f t="shared" si="19"/>
        <v>703.0313809306011</v>
      </c>
      <c r="O134" s="33">
        <f t="shared" si="20"/>
        <v>23353.573446016384</v>
      </c>
      <c r="P134" s="33">
        <f t="shared" si="21"/>
        <v>1985.0537429113929</v>
      </c>
      <c r="Q134" s="33">
        <f t="shared" si="22"/>
        <v>5651.564773935965</v>
      </c>
      <c r="R134" s="33">
        <f>(I134+J134)*18%*24.2%</f>
        <v>571.5406605370088</v>
      </c>
      <c r="S134" s="33">
        <f t="shared" si="23"/>
        <v>1118.8356230620682</v>
      </c>
      <c r="T134" s="34">
        <f t="shared" si="24"/>
        <v>32680.568246462815</v>
      </c>
      <c r="V134" s="7"/>
    </row>
    <row r="135" spans="1:22" s="5" customFormat="1" ht="12.75" hidden="1">
      <c r="A135" s="30" t="s">
        <v>8</v>
      </c>
      <c r="B135" s="31" t="s">
        <v>123</v>
      </c>
      <c r="C135" s="31">
        <v>1</v>
      </c>
      <c r="D135" s="31" t="s">
        <v>34</v>
      </c>
      <c r="E135" s="32" t="s">
        <v>129</v>
      </c>
      <c r="F135" s="32" t="s">
        <v>130</v>
      </c>
      <c r="G135" s="32"/>
      <c r="H135" s="32"/>
      <c r="I135" s="33">
        <f t="shared" si="27"/>
        <v>16566.586191411145</v>
      </c>
      <c r="J135" s="33">
        <f t="shared" si="27"/>
        <v>1325.3255813856294</v>
      </c>
      <c r="K135" s="33">
        <f t="shared" si="27"/>
        <v>8662.897631202291</v>
      </c>
      <c r="L135" s="33">
        <f t="shared" si="27"/>
        <v>3975.100792648631</v>
      </c>
      <c r="M135" s="33">
        <f t="shared" si="18"/>
        <v>1490.9926477330646</v>
      </c>
      <c r="N135" s="33">
        <f t="shared" si="19"/>
        <v>721.9081359335242</v>
      </c>
      <c r="O135" s="33">
        <f t="shared" si="20"/>
        <v>32742.810980314287</v>
      </c>
      <c r="P135" s="33">
        <f t="shared" si="21"/>
        <v>2783.1389333267143</v>
      </c>
      <c r="Q135" s="33">
        <f t="shared" si="22"/>
        <v>7923.760257236057</v>
      </c>
      <c r="R135" s="33"/>
      <c r="S135" s="33">
        <f t="shared" si="23"/>
        <v>1420.7831516300835</v>
      </c>
      <c r="T135" s="34">
        <f t="shared" si="24"/>
        <v>44870.49332250714</v>
      </c>
      <c r="V135" s="7"/>
    </row>
    <row r="136" spans="1:22" s="5" customFormat="1" ht="12.75" hidden="1">
      <c r="A136" s="30" t="s">
        <v>8</v>
      </c>
      <c r="B136" s="31" t="s">
        <v>123</v>
      </c>
      <c r="C136" s="31">
        <v>2</v>
      </c>
      <c r="D136" s="31" t="s">
        <v>31</v>
      </c>
      <c r="E136" s="32" t="s">
        <v>131</v>
      </c>
      <c r="F136" s="32"/>
      <c r="G136" s="32"/>
      <c r="H136" s="32"/>
      <c r="I136" s="33">
        <f t="shared" si="27"/>
        <v>12148.856152246753</v>
      </c>
      <c r="J136" s="33">
        <f t="shared" si="27"/>
        <v>1943.8239919715465</v>
      </c>
      <c r="K136" s="33">
        <f t="shared" si="27"/>
        <v>8436.376571167213</v>
      </c>
      <c r="L136" s="33">
        <f t="shared" si="27"/>
        <v>0</v>
      </c>
      <c r="M136" s="33">
        <f t="shared" si="18"/>
        <v>1174.3900120181918</v>
      </c>
      <c r="N136" s="33">
        <f t="shared" si="19"/>
        <v>703.0313809306011</v>
      </c>
      <c r="O136" s="33">
        <f t="shared" si="20"/>
        <v>24406.47810833431</v>
      </c>
      <c r="P136" s="33">
        <f t="shared" si="21"/>
        <v>2074.550639208416</v>
      </c>
      <c r="Q136" s="33">
        <f t="shared" si="22"/>
        <v>5906.367702216903</v>
      </c>
      <c r="R136" s="33">
        <f>(I136+J136)*18%*24.2%</f>
        <v>613.8771470821491</v>
      </c>
      <c r="S136" s="33">
        <f t="shared" si="23"/>
        <v>1178.6406078817263</v>
      </c>
      <c r="T136" s="34">
        <f t="shared" si="24"/>
        <v>34179.91420472351</v>
      </c>
      <c r="V136" s="7"/>
    </row>
    <row r="137" spans="1:22" s="5" customFormat="1" ht="12.75" hidden="1">
      <c r="A137" s="30" t="s">
        <v>8</v>
      </c>
      <c r="B137" s="31" t="s">
        <v>123</v>
      </c>
      <c r="C137" s="31">
        <v>2</v>
      </c>
      <c r="D137" s="31" t="s">
        <v>34</v>
      </c>
      <c r="E137" s="32" t="s">
        <v>132</v>
      </c>
      <c r="F137" s="32" t="s">
        <v>133</v>
      </c>
      <c r="G137" s="32"/>
      <c r="H137" s="32"/>
      <c r="I137" s="33">
        <f t="shared" si="27"/>
        <v>16566.586191411145</v>
      </c>
      <c r="J137" s="33">
        <f t="shared" si="27"/>
        <v>2650.651162771259</v>
      </c>
      <c r="K137" s="33">
        <f t="shared" si="27"/>
        <v>8662.897631202291</v>
      </c>
      <c r="L137" s="33">
        <f t="shared" si="27"/>
        <v>3975.100792648631</v>
      </c>
      <c r="M137" s="33">
        <f t="shared" si="18"/>
        <v>1601.436446181867</v>
      </c>
      <c r="N137" s="33">
        <f t="shared" si="19"/>
        <v>721.9081359335242</v>
      </c>
      <c r="O137" s="33">
        <f t="shared" si="20"/>
        <v>34178.58036014872</v>
      </c>
      <c r="P137" s="33">
        <f t="shared" si="21"/>
        <v>2905.179330612641</v>
      </c>
      <c r="Q137" s="33">
        <f t="shared" si="22"/>
        <v>8271.21644715599</v>
      </c>
      <c r="R137" s="33"/>
      <c r="S137" s="33">
        <f t="shared" si="23"/>
        <v>1502.3348524046792</v>
      </c>
      <c r="T137" s="34">
        <f t="shared" si="24"/>
        <v>46857.31099032203</v>
      </c>
      <c r="V137" s="7"/>
    </row>
    <row r="138" spans="1:22" s="5" customFormat="1" ht="12.75" hidden="1">
      <c r="A138" s="30" t="s">
        <v>8</v>
      </c>
      <c r="B138" s="31" t="s">
        <v>123</v>
      </c>
      <c r="C138" s="31">
        <v>3</v>
      </c>
      <c r="D138" s="31" t="s">
        <v>31</v>
      </c>
      <c r="E138" s="32" t="s">
        <v>134</v>
      </c>
      <c r="F138" s="32"/>
      <c r="G138" s="32"/>
      <c r="H138" s="32"/>
      <c r="I138" s="33">
        <f t="shared" si="27"/>
        <v>12148.856152246753</v>
      </c>
      <c r="J138" s="33">
        <f t="shared" si="27"/>
        <v>2915.73598795732</v>
      </c>
      <c r="K138" s="33">
        <f t="shared" si="27"/>
        <v>8436.376571167213</v>
      </c>
      <c r="L138" s="33">
        <f t="shared" si="27"/>
        <v>0</v>
      </c>
      <c r="M138" s="33">
        <f t="shared" si="18"/>
        <v>1255.3826783503393</v>
      </c>
      <c r="N138" s="33">
        <f t="shared" si="19"/>
        <v>703.0313809306011</v>
      </c>
      <c r="O138" s="33">
        <f t="shared" si="20"/>
        <v>25459.382770652228</v>
      </c>
      <c r="P138" s="33">
        <f t="shared" si="21"/>
        <v>2164.0475355054396</v>
      </c>
      <c r="Q138" s="33">
        <f t="shared" si="22"/>
        <v>6161.17063049784</v>
      </c>
      <c r="R138" s="33">
        <f>(I138+J138)*18%*24.2%</f>
        <v>656.2136336272895</v>
      </c>
      <c r="S138" s="33">
        <f t="shared" si="23"/>
        <v>1238.445592701384</v>
      </c>
      <c r="T138" s="34">
        <f t="shared" si="24"/>
        <v>35679.26016298418</v>
      </c>
      <c r="V138" s="7"/>
    </row>
    <row r="139" spans="1:22" s="5" customFormat="1" ht="12.75" hidden="1">
      <c r="A139" s="30" t="s">
        <v>8</v>
      </c>
      <c r="B139" s="31" t="s">
        <v>123</v>
      </c>
      <c r="C139" s="31">
        <v>3</v>
      </c>
      <c r="D139" s="31" t="s">
        <v>34</v>
      </c>
      <c r="E139" s="32" t="s">
        <v>135</v>
      </c>
      <c r="F139" s="32" t="s">
        <v>136</v>
      </c>
      <c r="G139" s="32"/>
      <c r="H139" s="32"/>
      <c r="I139" s="33">
        <f t="shared" si="27"/>
        <v>16566.586191411145</v>
      </c>
      <c r="J139" s="33">
        <f t="shared" si="27"/>
        <v>3975.9767441568883</v>
      </c>
      <c r="K139" s="33">
        <f t="shared" si="27"/>
        <v>8662.897631202291</v>
      </c>
      <c r="L139" s="33">
        <f t="shared" si="27"/>
        <v>4542.980155451188</v>
      </c>
      <c r="M139" s="33">
        <f t="shared" si="18"/>
        <v>1711.8802446306693</v>
      </c>
      <c r="N139" s="33">
        <f t="shared" si="19"/>
        <v>721.9081359335242</v>
      </c>
      <c r="O139" s="33">
        <f t="shared" si="20"/>
        <v>36182.229102785706</v>
      </c>
      <c r="P139" s="33">
        <f t="shared" si="21"/>
        <v>3075.489473736785</v>
      </c>
      <c r="Q139" s="33">
        <f t="shared" si="22"/>
        <v>8756.099442874141</v>
      </c>
      <c r="R139" s="33"/>
      <c r="S139" s="33">
        <f t="shared" si="23"/>
        <v>1583.8865531792746</v>
      </c>
      <c r="T139" s="34">
        <f t="shared" si="24"/>
        <v>49597.70457257591</v>
      </c>
      <c r="V139" s="7"/>
    </row>
    <row r="140" spans="1:22" s="5" customFormat="1" ht="12.75" hidden="1">
      <c r="A140" s="30" t="s">
        <v>8</v>
      </c>
      <c r="B140" s="31" t="s">
        <v>123</v>
      </c>
      <c r="C140" s="31">
        <v>4</v>
      </c>
      <c r="D140" s="31" t="s">
        <v>31</v>
      </c>
      <c r="E140" s="32" t="s">
        <v>137</v>
      </c>
      <c r="F140" s="32" t="s">
        <v>138</v>
      </c>
      <c r="G140" s="32"/>
      <c r="H140" s="32"/>
      <c r="I140" s="33">
        <f t="shared" si="27"/>
        <v>12148.856152246753</v>
      </c>
      <c r="J140" s="33">
        <f t="shared" si="27"/>
        <v>3887.647983943093</v>
      </c>
      <c r="K140" s="33">
        <f t="shared" si="27"/>
        <v>8436.376571167213</v>
      </c>
      <c r="L140" s="33">
        <f t="shared" si="27"/>
        <v>0</v>
      </c>
      <c r="M140" s="33">
        <f t="shared" si="18"/>
        <v>1336.3753446824874</v>
      </c>
      <c r="N140" s="33">
        <f t="shared" si="19"/>
        <v>703.0313809306011</v>
      </c>
      <c r="O140" s="33">
        <f t="shared" si="20"/>
        <v>26512.28743297015</v>
      </c>
      <c r="P140" s="33">
        <f t="shared" si="21"/>
        <v>2253.544431802463</v>
      </c>
      <c r="Q140" s="33">
        <f t="shared" si="22"/>
        <v>6415.973558778776</v>
      </c>
      <c r="R140" s="33">
        <f>(I140+J140)*18%*24.2%</f>
        <v>698.5501201724297</v>
      </c>
      <c r="S140" s="33">
        <f t="shared" si="23"/>
        <v>1298.250577521042</v>
      </c>
      <c r="T140" s="34">
        <f t="shared" si="24"/>
        <v>37178.60612124487</v>
      </c>
      <c r="V140" s="7"/>
    </row>
    <row r="141" spans="1:22" s="5" customFormat="1" ht="12.75" hidden="1">
      <c r="A141" s="30" t="s">
        <v>8</v>
      </c>
      <c r="B141" s="31" t="s">
        <v>123</v>
      </c>
      <c r="C141" s="31">
        <v>4</v>
      </c>
      <c r="D141" s="31" t="s">
        <v>34</v>
      </c>
      <c r="E141" s="32" t="s">
        <v>139</v>
      </c>
      <c r="F141" s="32" t="s">
        <v>140</v>
      </c>
      <c r="G141" s="32"/>
      <c r="H141" s="32"/>
      <c r="I141" s="33">
        <f t="shared" si="27"/>
        <v>16566.586191411145</v>
      </c>
      <c r="J141" s="33">
        <f t="shared" si="27"/>
        <v>5301.302325542518</v>
      </c>
      <c r="K141" s="33">
        <f t="shared" si="27"/>
        <v>8662.897631202291</v>
      </c>
      <c r="L141" s="33">
        <f t="shared" si="27"/>
        <v>4542.980155451188</v>
      </c>
      <c r="M141" s="33">
        <f t="shared" si="18"/>
        <v>1822.324043079472</v>
      </c>
      <c r="N141" s="33">
        <f t="shared" si="19"/>
        <v>721.9081359335242</v>
      </c>
      <c r="O141" s="33">
        <f t="shared" si="20"/>
        <v>37617.99848262013</v>
      </c>
      <c r="P141" s="33">
        <f t="shared" si="21"/>
        <v>3197.529871022711</v>
      </c>
      <c r="Q141" s="33">
        <f t="shared" si="22"/>
        <v>9103.555632794072</v>
      </c>
      <c r="R141" s="33"/>
      <c r="S141" s="33">
        <f t="shared" si="23"/>
        <v>1665.4382539538708</v>
      </c>
      <c r="T141" s="34">
        <f t="shared" si="24"/>
        <v>51584.52224039079</v>
      </c>
      <c r="V141" s="7"/>
    </row>
    <row r="142" spans="1:22" s="5" customFormat="1" ht="12.75" hidden="1">
      <c r="A142" s="30" t="s">
        <v>8</v>
      </c>
      <c r="B142" s="31" t="s">
        <v>123</v>
      </c>
      <c r="C142" s="31">
        <v>5</v>
      </c>
      <c r="D142" s="31" t="s">
        <v>31</v>
      </c>
      <c r="E142" s="32" t="s">
        <v>141</v>
      </c>
      <c r="F142" s="32"/>
      <c r="G142" s="32"/>
      <c r="H142" s="32"/>
      <c r="I142" s="33">
        <f t="shared" si="27"/>
        <v>12148.856152246753</v>
      </c>
      <c r="J142" s="33">
        <f t="shared" si="27"/>
        <v>4859.559979928866</v>
      </c>
      <c r="K142" s="33">
        <f t="shared" si="27"/>
        <v>8436.376571167213</v>
      </c>
      <c r="L142" s="33">
        <f t="shared" si="27"/>
        <v>0</v>
      </c>
      <c r="M142" s="33">
        <f t="shared" si="18"/>
        <v>1417.368011014635</v>
      </c>
      <c r="N142" s="33">
        <f t="shared" si="19"/>
        <v>703.0313809306011</v>
      </c>
      <c r="O142" s="33">
        <f t="shared" si="20"/>
        <v>27565.19209528807</v>
      </c>
      <c r="P142" s="33">
        <f t="shared" si="21"/>
        <v>2343.041328099486</v>
      </c>
      <c r="Q142" s="33">
        <f t="shared" si="22"/>
        <v>6670.776487059712</v>
      </c>
      <c r="R142" s="33">
        <f>(I142+J142)*18%*24.2%</f>
        <v>740.8866067175699</v>
      </c>
      <c r="S142" s="33">
        <f t="shared" si="23"/>
        <v>1358.0555623406997</v>
      </c>
      <c r="T142" s="34">
        <f t="shared" si="24"/>
        <v>38677.952079505536</v>
      </c>
      <c r="V142" s="7"/>
    </row>
    <row r="143" spans="1:22" s="5" customFormat="1" ht="12.75" hidden="1">
      <c r="A143" s="30" t="s">
        <v>8</v>
      </c>
      <c r="B143" s="31" t="s">
        <v>123</v>
      </c>
      <c r="C143" s="31">
        <v>5</v>
      </c>
      <c r="D143" s="31" t="s">
        <v>34</v>
      </c>
      <c r="E143" s="32" t="s">
        <v>142</v>
      </c>
      <c r="F143" s="32" t="s">
        <v>143</v>
      </c>
      <c r="G143" s="32"/>
      <c r="H143" s="32"/>
      <c r="I143" s="33">
        <f t="shared" si="27"/>
        <v>16566.586191411145</v>
      </c>
      <c r="J143" s="33">
        <f t="shared" si="27"/>
        <v>6626.627906928146</v>
      </c>
      <c r="K143" s="33">
        <f t="shared" si="27"/>
        <v>8662.897631202291</v>
      </c>
      <c r="L143" s="33">
        <f t="shared" si="27"/>
        <v>5110.848568859891</v>
      </c>
      <c r="M143" s="33">
        <f t="shared" si="18"/>
        <v>1932.7678415282742</v>
      </c>
      <c r="N143" s="33">
        <f t="shared" si="19"/>
        <v>721.9081359335242</v>
      </c>
      <c r="O143" s="33">
        <f t="shared" si="20"/>
        <v>39621.63627586327</v>
      </c>
      <c r="P143" s="33">
        <f t="shared" si="21"/>
        <v>3367.839083448378</v>
      </c>
      <c r="Q143" s="33">
        <f t="shared" si="22"/>
        <v>9588.435978758911</v>
      </c>
      <c r="R143" s="33"/>
      <c r="S143" s="33">
        <f t="shared" si="23"/>
        <v>1746.9899547284663</v>
      </c>
      <c r="T143" s="34">
        <f t="shared" si="24"/>
        <v>54324.901292799026</v>
      </c>
      <c r="V143" s="7"/>
    </row>
    <row r="144" spans="1:22" s="5" customFormat="1" ht="12.75" hidden="1">
      <c r="A144" s="30" t="s">
        <v>8</v>
      </c>
      <c r="B144" s="31" t="s">
        <v>123</v>
      </c>
      <c r="C144" s="31">
        <v>6</v>
      </c>
      <c r="D144" s="31" t="s">
        <v>31</v>
      </c>
      <c r="E144" s="32" t="s">
        <v>144</v>
      </c>
      <c r="F144" s="32" t="s">
        <v>145</v>
      </c>
      <c r="G144" s="32"/>
      <c r="H144" s="32"/>
      <c r="I144" s="33">
        <f t="shared" si="27"/>
        <v>12148.856152246753</v>
      </c>
      <c r="J144" s="33">
        <f t="shared" si="27"/>
        <v>5831.47197591464</v>
      </c>
      <c r="K144" s="33">
        <f t="shared" si="27"/>
        <v>8436.376571167213</v>
      </c>
      <c r="L144" s="33">
        <f t="shared" si="27"/>
        <v>0</v>
      </c>
      <c r="M144" s="33">
        <f t="shared" si="18"/>
        <v>1498.3606773467827</v>
      </c>
      <c r="N144" s="33">
        <f t="shared" si="19"/>
        <v>703.0313809306011</v>
      </c>
      <c r="O144" s="33">
        <f t="shared" si="20"/>
        <v>28618.096757605992</v>
      </c>
      <c r="P144" s="33">
        <f t="shared" si="21"/>
        <v>2432.5382243965096</v>
      </c>
      <c r="Q144" s="33">
        <f t="shared" si="22"/>
        <v>6925.57941534065</v>
      </c>
      <c r="R144" s="33">
        <f>(I144+J144)*18%*24.2%</f>
        <v>783.2230932627102</v>
      </c>
      <c r="S144" s="33">
        <f t="shared" si="23"/>
        <v>1417.8605471603578</v>
      </c>
      <c r="T144" s="34">
        <f t="shared" si="24"/>
        <v>40177.298037766224</v>
      </c>
      <c r="V144" s="7"/>
    </row>
    <row r="145" spans="1:22" s="5" customFormat="1" ht="12.75" hidden="1">
      <c r="A145" s="30" t="s">
        <v>8</v>
      </c>
      <c r="B145" s="31" t="s">
        <v>123</v>
      </c>
      <c r="C145" s="31">
        <v>6</v>
      </c>
      <c r="D145" s="31" t="s">
        <v>34</v>
      </c>
      <c r="E145" s="32" t="s">
        <v>146</v>
      </c>
      <c r="F145" s="32" t="s">
        <v>147</v>
      </c>
      <c r="G145" s="32"/>
      <c r="H145" s="32"/>
      <c r="I145" s="33">
        <f t="shared" si="27"/>
        <v>16566.586191411145</v>
      </c>
      <c r="J145" s="33">
        <f t="shared" si="27"/>
        <v>7951.953488313777</v>
      </c>
      <c r="K145" s="33">
        <f t="shared" si="27"/>
        <v>8662.897631202291</v>
      </c>
      <c r="L145" s="33">
        <f t="shared" si="27"/>
        <v>5678.727931662448</v>
      </c>
      <c r="M145" s="33">
        <f t="shared" si="18"/>
        <v>2043.2116399770766</v>
      </c>
      <c r="N145" s="33">
        <f t="shared" si="19"/>
        <v>721.9081359335242</v>
      </c>
      <c r="O145" s="33">
        <f t="shared" si="20"/>
        <v>41625.28501850026</v>
      </c>
      <c r="P145" s="33">
        <f t="shared" si="21"/>
        <v>3538.1492265725224</v>
      </c>
      <c r="Q145" s="33">
        <f t="shared" si="22"/>
        <v>10073.318974477063</v>
      </c>
      <c r="R145" s="33"/>
      <c r="S145" s="33">
        <f t="shared" si="23"/>
        <v>1828.541655503062</v>
      </c>
      <c r="T145" s="34">
        <f t="shared" si="24"/>
        <v>57065.29487505291</v>
      </c>
      <c r="V145" s="7"/>
    </row>
    <row r="146" spans="1:22" s="5" customFormat="1" ht="12.75" hidden="1">
      <c r="A146" s="30" t="s">
        <v>8</v>
      </c>
      <c r="B146" s="31" t="s">
        <v>123</v>
      </c>
      <c r="C146" s="31">
        <v>7</v>
      </c>
      <c r="D146" s="31" t="s">
        <v>34</v>
      </c>
      <c r="E146" s="32" t="s">
        <v>148</v>
      </c>
      <c r="F146" s="32" t="s">
        <v>149</v>
      </c>
      <c r="G146" s="32"/>
      <c r="H146" s="32"/>
      <c r="I146" s="33">
        <f aca="true" t="shared" si="28" ref="I146:L153">I68*1.0223</f>
        <v>16566.586191411145</v>
      </c>
      <c r="J146" s="33">
        <f t="shared" si="28"/>
        <v>9423.070248854814</v>
      </c>
      <c r="K146" s="33">
        <f t="shared" si="28"/>
        <v>8662.897631202291</v>
      </c>
      <c r="L146" s="33">
        <f t="shared" si="28"/>
        <v>5678.727931662448</v>
      </c>
      <c r="M146" s="33">
        <f aca="true" t="shared" si="29" ref="M146:M153">(I146+J146)/12</f>
        <v>2165.8047033554963</v>
      </c>
      <c r="N146" s="33">
        <f aca="true" t="shared" si="30" ref="N146:N153">K146/12</f>
        <v>721.9081359335242</v>
      </c>
      <c r="O146" s="33">
        <f aca="true" t="shared" si="31" ref="O146:O153">SUM(I146:N146)</f>
        <v>43218.99484241972</v>
      </c>
      <c r="P146" s="33">
        <f aca="true" t="shared" si="32" ref="P146:P153">O146*8.5/100</f>
        <v>3673.6145616056765</v>
      </c>
      <c r="Q146" s="33">
        <f aca="true" t="shared" si="33" ref="Q146:Q153">O146*24.2/100</f>
        <v>10458.996751865572</v>
      </c>
      <c r="R146" s="33"/>
      <c r="S146" s="33">
        <f aca="true" t="shared" si="34" ref="S146:S153">(I146+J146+M146)*80%*7.1%+(K146+N146)*80%*60%*7.1%</f>
        <v>1919.0643735016872</v>
      </c>
      <c r="T146" s="34">
        <f aca="true" t="shared" si="35" ref="T146:T153">O146+P146+Q146+R146+S146</f>
        <v>59270.67052939266</v>
      </c>
      <c r="V146" s="7"/>
    </row>
    <row r="147" spans="1:22" s="5" customFormat="1" ht="12.75" hidden="1">
      <c r="A147" s="30" t="s">
        <v>8</v>
      </c>
      <c r="B147" s="31" t="s">
        <v>123</v>
      </c>
      <c r="C147" s="31">
        <v>8</v>
      </c>
      <c r="D147" s="31" t="s">
        <v>34</v>
      </c>
      <c r="E147" s="32" t="s">
        <v>150</v>
      </c>
      <c r="F147" s="32" t="s">
        <v>151</v>
      </c>
      <c r="G147" s="32"/>
      <c r="H147" s="32"/>
      <c r="I147" s="33">
        <f t="shared" si="28"/>
        <v>16566.586191411145</v>
      </c>
      <c r="J147" s="33">
        <f t="shared" si="28"/>
        <v>10894.187009395846</v>
      </c>
      <c r="K147" s="33">
        <f t="shared" si="28"/>
        <v>8662.897631202291</v>
      </c>
      <c r="L147" s="33">
        <f t="shared" si="28"/>
        <v>5678.727931662448</v>
      </c>
      <c r="M147" s="33">
        <f t="shared" si="29"/>
        <v>2288.397766733916</v>
      </c>
      <c r="N147" s="33">
        <f t="shared" si="30"/>
        <v>721.9081359335242</v>
      </c>
      <c r="O147" s="33">
        <f t="shared" si="31"/>
        <v>44812.70466633917</v>
      </c>
      <c r="P147" s="33">
        <f t="shared" si="32"/>
        <v>3809.0798966388293</v>
      </c>
      <c r="Q147" s="33">
        <f t="shared" si="33"/>
        <v>10844.674529254078</v>
      </c>
      <c r="R147" s="33"/>
      <c r="S147" s="33">
        <f t="shared" si="34"/>
        <v>2009.587091500312</v>
      </c>
      <c r="T147" s="34">
        <f t="shared" si="35"/>
        <v>61476.04618373239</v>
      </c>
      <c r="V147" s="7"/>
    </row>
    <row r="148" spans="1:22" s="5" customFormat="1" ht="12.75" hidden="1">
      <c r="A148" s="30" t="s">
        <v>8</v>
      </c>
      <c r="B148" s="31" t="s">
        <v>123</v>
      </c>
      <c r="C148" s="31">
        <v>9</v>
      </c>
      <c r="D148" s="31" t="s">
        <v>34</v>
      </c>
      <c r="E148" s="32" t="s">
        <v>152</v>
      </c>
      <c r="F148" s="32" t="s">
        <v>153</v>
      </c>
      <c r="G148" s="32"/>
      <c r="H148" s="32"/>
      <c r="I148" s="33">
        <f t="shared" si="28"/>
        <v>16566.586191411145</v>
      </c>
      <c r="J148" s="33">
        <f t="shared" si="28"/>
        <v>12365.292820543033</v>
      </c>
      <c r="K148" s="33">
        <f t="shared" si="28"/>
        <v>8662.897631202291</v>
      </c>
      <c r="L148" s="33">
        <f t="shared" si="28"/>
        <v>5678.727931662448</v>
      </c>
      <c r="M148" s="33">
        <f t="shared" si="29"/>
        <v>2410.9899176628483</v>
      </c>
      <c r="N148" s="33">
        <f t="shared" si="30"/>
        <v>721.9081359335242</v>
      </c>
      <c r="O148" s="33">
        <f t="shared" si="31"/>
        <v>46406.402628415286</v>
      </c>
      <c r="P148" s="33">
        <f t="shared" si="32"/>
        <v>3944.5442234152993</v>
      </c>
      <c r="Q148" s="33">
        <f t="shared" si="33"/>
        <v>11230.3494360765</v>
      </c>
      <c r="R148" s="33"/>
      <c r="S148" s="33">
        <f t="shared" si="34"/>
        <v>2100.1091357462356</v>
      </c>
      <c r="T148" s="34">
        <f t="shared" si="35"/>
        <v>63681.40542365332</v>
      </c>
      <c r="V148" s="7"/>
    </row>
    <row r="149" spans="1:22" s="5" customFormat="1" ht="12.75" hidden="1">
      <c r="A149" s="30" t="s">
        <v>8</v>
      </c>
      <c r="B149" s="31" t="s">
        <v>123</v>
      </c>
      <c r="C149" s="31">
        <v>10</v>
      </c>
      <c r="D149" s="31" t="s">
        <v>34</v>
      </c>
      <c r="E149" s="32" t="s">
        <v>154</v>
      </c>
      <c r="F149" s="32" t="s">
        <v>155</v>
      </c>
      <c r="G149" s="32"/>
      <c r="H149" s="32"/>
      <c r="I149" s="33">
        <f t="shared" si="28"/>
        <v>16566.586191411145</v>
      </c>
      <c r="J149" s="33">
        <f t="shared" si="28"/>
        <v>13836.409581084068</v>
      </c>
      <c r="K149" s="33">
        <f t="shared" si="28"/>
        <v>8662.897631202291</v>
      </c>
      <c r="L149" s="33">
        <f t="shared" si="28"/>
        <v>5678.727931662448</v>
      </c>
      <c r="M149" s="33">
        <f t="shared" si="29"/>
        <v>2533.5829810412674</v>
      </c>
      <c r="N149" s="33">
        <f t="shared" si="30"/>
        <v>721.9081359335242</v>
      </c>
      <c r="O149" s="33">
        <f t="shared" si="31"/>
        <v>48000.112452334746</v>
      </c>
      <c r="P149" s="33">
        <f t="shared" si="32"/>
        <v>4080.0095584484534</v>
      </c>
      <c r="Q149" s="33">
        <f t="shared" si="33"/>
        <v>11616.027213465008</v>
      </c>
      <c r="R149" s="33"/>
      <c r="S149" s="33">
        <f t="shared" si="34"/>
        <v>2190.6318537448606</v>
      </c>
      <c r="T149" s="34">
        <f t="shared" si="35"/>
        <v>65886.78107799307</v>
      </c>
      <c r="V149" s="7"/>
    </row>
    <row r="150" spans="1:22" s="5" customFormat="1" ht="12.75" hidden="1">
      <c r="A150" s="30" t="s">
        <v>8</v>
      </c>
      <c r="B150" s="31" t="s">
        <v>123</v>
      </c>
      <c r="C150" s="31">
        <v>11</v>
      </c>
      <c r="D150" s="31" t="s">
        <v>34</v>
      </c>
      <c r="E150" s="32" t="s">
        <v>156</v>
      </c>
      <c r="F150" s="32" t="s">
        <v>157</v>
      </c>
      <c r="G150" s="32"/>
      <c r="H150" s="32"/>
      <c r="I150" s="33">
        <f t="shared" si="28"/>
        <v>16566.586191411145</v>
      </c>
      <c r="J150" s="33">
        <f t="shared" si="28"/>
        <v>15307.526341625104</v>
      </c>
      <c r="K150" s="33">
        <f t="shared" si="28"/>
        <v>8662.897631202291</v>
      </c>
      <c r="L150" s="33">
        <f t="shared" si="28"/>
        <v>5678.727931662448</v>
      </c>
      <c r="M150" s="33">
        <f t="shared" si="29"/>
        <v>2656.1760444196875</v>
      </c>
      <c r="N150" s="33">
        <f t="shared" si="30"/>
        <v>721.9081359335242</v>
      </c>
      <c r="O150" s="33">
        <f t="shared" si="31"/>
        <v>49593.8222762542</v>
      </c>
      <c r="P150" s="33">
        <f t="shared" si="32"/>
        <v>4215.474893481607</v>
      </c>
      <c r="Q150" s="33">
        <f t="shared" si="33"/>
        <v>12001.704990853515</v>
      </c>
      <c r="R150" s="33"/>
      <c r="S150" s="33">
        <f t="shared" si="34"/>
        <v>2281.1545717434856</v>
      </c>
      <c r="T150" s="34">
        <f t="shared" si="35"/>
        <v>68092.1567323328</v>
      </c>
      <c r="V150" s="7"/>
    </row>
    <row r="151" spans="1:22" s="5" customFormat="1" ht="12.75" hidden="1">
      <c r="A151" s="30" t="s">
        <v>8</v>
      </c>
      <c r="B151" s="31" t="s">
        <v>123</v>
      </c>
      <c r="C151" s="31">
        <v>12</v>
      </c>
      <c r="D151" s="31" t="s">
        <v>34</v>
      </c>
      <c r="E151" s="32" t="s">
        <v>158</v>
      </c>
      <c r="F151" s="32" t="s">
        <v>159</v>
      </c>
      <c r="G151" s="32"/>
      <c r="H151" s="32"/>
      <c r="I151" s="33">
        <f t="shared" si="28"/>
        <v>16566.586191411145</v>
      </c>
      <c r="J151" s="33">
        <f t="shared" si="28"/>
        <v>16778.632152772287</v>
      </c>
      <c r="K151" s="33">
        <f t="shared" si="28"/>
        <v>8662.897631202291</v>
      </c>
      <c r="L151" s="33">
        <f t="shared" si="28"/>
        <v>5678.727931662448</v>
      </c>
      <c r="M151" s="33">
        <f t="shared" si="29"/>
        <v>2778.7681953486194</v>
      </c>
      <c r="N151" s="33">
        <f t="shared" si="30"/>
        <v>721.9081359335242</v>
      </c>
      <c r="O151" s="33">
        <f t="shared" si="31"/>
        <v>51187.52023833032</v>
      </c>
      <c r="P151" s="33">
        <f t="shared" si="32"/>
        <v>4350.9392202580775</v>
      </c>
      <c r="Q151" s="33">
        <f t="shared" si="33"/>
        <v>12387.379897675935</v>
      </c>
      <c r="R151" s="33"/>
      <c r="S151" s="33">
        <f t="shared" si="34"/>
        <v>2371.676615989409</v>
      </c>
      <c r="T151" s="34">
        <f t="shared" si="35"/>
        <v>70297.51597225374</v>
      </c>
      <c r="V151" s="7"/>
    </row>
    <row r="152" spans="1:22" s="5" customFormat="1" ht="12.75" hidden="1">
      <c r="A152" s="30" t="s">
        <v>8</v>
      </c>
      <c r="B152" s="31" t="s">
        <v>123</v>
      </c>
      <c r="C152" s="31">
        <v>13</v>
      </c>
      <c r="D152" s="31" t="s">
        <v>34</v>
      </c>
      <c r="E152" s="32" t="s">
        <v>160</v>
      </c>
      <c r="F152" s="32" t="s">
        <v>161</v>
      </c>
      <c r="G152" s="32"/>
      <c r="H152" s="32"/>
      <c r="I152" s="33">
        <f t="shared" si="28"/>
        <v>16566.586191411145</v>
      </c>
      <c r="J152" s="33">
        <f t="shared" si="28"/>
        <v>18249.74891331332</v>
      </c>
      <c r="K152" s="33">
        <f t="shared" si="28"/>
        <v>8662.897631202291</v>
      </c>
      <c r="L152" s="33">
        <f t="shared" si="28"/>
        <v>5678.727931662448</v>
      </c>
      <c r="M152" s="33">
        <f t="shared" si="29"/>
        <v>2901.3612587270386</v>
      </c>
      <c r="N152" s="33">
        <f t="shared" si="30"/>
        <v>721.9081359335242</v>
      </c>
      <c r="O152" s="33">
        <f t="shared" si="31"/>
        <v>52781.23006224977</v>
      </c>
      <c r="P152" s="33">
        <f t="shared" si="32"/>
        <v>4486.404555291231</v>
      </c>
      <c r="Q152" s="33">
        <f t="shared" si="33"/>
        <v>12773.057675064443</v>
      </c>
      <c r="R152" s="33"/>
      <c r="S152" s="33">
        <f t="shared" si="34"/>
        <v>2462.199333988034</v>
      </c>
      <c r="T152" s="34">
        <f t="shared" si="35"/>
        <v>72502.89162659347</v>
      </c>
      <c r="V152" s="7"/>
    </row>
    <row r="153" spans="1:22" s="5" customFormat="1" ht="13.5" hidden="1" thickBot="1">
      <c r="A153" s="35" t="s">
        <v>8</v>
      </c>
      <c r="B153" s="36" t="s">
        <v>123</v>
      </c>
      <c r="C153" s="36">
        <v>14</v>
      </c>
      <c r="D153" s="36" t="s">
        <v>34</v>
      </c>
      <c r="E153" s="37" t="s">
        <v>162</v>
      </c>
      <c r="F153" s="37" t="s">
        <v>163</v>
      </c>
      <c r="G153" s="37"/>
      <c r="H153" s="37"/>
      <c r="I153" s="38">
        <f t="shared" si="28"/>
        <v>16566.586191411145</v>
      </c>
      <c r="J153" s="38">
        <f t="shared" si="28"/>
        <v>19720.86567385436</v>
      </c>
      <c r="K153" s="38">
        <f t="shared" si="28"/>
        <v>8662.897631202291</v>
      </c>
      <c r="L153" s="38">
        <f t="shared" si="28"/>
        <v>5678.727931662448</v>
      </c>
      <c r="M153" s="38">
        <f t="shared" si="29"/>
        <v>3023.954322105459</v>
      </c>
      <c r="N153" s="38">
        <f t="shared" si="30"/>
        <v>721.9081359335242</v>
      </c>
      <c r="O153" s="38">
        <f t="shared" si="31"/>
        <v>54374.93988616923</v>
      </c>
      <c r="P153" s="38">
        <f t="shared" si="32"/>
        <v>4621.869890324385</v>
      </c>
      <c r="Q153" s="38">
        <f t="shared" si="33"/>
        <v>13158.735452452955</v>
      </c>
      <c r="R153" s="38"/>
      <c r="S153" s="38">
        <f t="shared" si="34"/>
        <v>2552.72205198666</v>
      </c>
      <c r="T153" s="39">
        <f t="shared" si="35"/>
        <v>74708.26728093323</v>
      </c>
      <c r="V153" s="7"/>
    </row>
    <row r="154" spans="1:22" s="5" customFormat="1" ht="12.75" hidden="1">
      <c r="A154" s="1"/>
      <c r="B154" s="1"/>
      <c r="C154" s="1"/>
      <c r="D154" s="1"/>
      <c r="O154" s="11"/>
      <c r="S154" s="11"/>
      <c r="T154" s="6"/>
      <c r="V154" s="7"/>
    </row>
    <row r="155" spans="1:22" s="5" customFormat="1" ht="15" customHeight="1" hidden="1">
      <c r="A155" s="1"/>
      <c r="B155" s="1"/>
      <c r="C155" s="20"/>
      <c r="D155" s="1"/>
      <c r="S155" s="11"/>
      <c r="T155" s="6"/>
      <c r="V155" s="7"/>
    </row>
    <row r="156" spans="1:22" s="5" customFormat="1" ht="12.75" hidden="1">
      <c r="A156" s="1"/>
      <c r="B156" s="2" t="s">
        <v>166</v>
      </c>
      <c r="C156" s="3"/>
      <c r="D156" s="4"/>
      <c r="T156" s="6"/>
      <c r="V156" s="7"/>
    </row>
    <row r="157" spans="1:22" s="5" customFormat="1" ht="12.75" hidden="1">
      <c r="A157" s="1"/>
      <c r="B157" s="1"/>
      <c r="C157" s="1"/>
      <c r="D157" s="4"/>
      <c r="T157" s="6"/>
      <c r="V157" s="7"/>
    </row>
    <row r="158" spans="1:22" s="5" customFormat="1" ht="13.5" hidden="1" thickTop="1">
      <c r="A158" s="21" t="s">
        <v>167</v>
      </c>
      <c r="B158" s="22" t="s">
        <v>13</v>
      </c>
      <c r="C158" s="22" t="s">
        <v>14</v>
      </c>
      <c r="D158" s="22" t="s">
        <v>15</v>
      </c>
      <c r="E158" s="23" t="s">
        <v>16</v>
      </c>
      <c r="F158" s="23" t="s">
        <v>17</v>
      </c>
      <c r="G158" s="23"/>
      <c r="H158" s="23"/>
      <c r="I158" s="23" t="s">
        <v>18</v>
      </c>
      <c r="J158" s="23" t="s">
        <v>19</v>
      </c>
      <c r="K158" s="23" t="s">
        <v>20</v>
      </c>
      <c r="L158" s="23" t="s">
        <v>21</v>
      </c>
      <c r="M158" s="23" t="s">
        <v>22</v>
      </c>
      <c r="N158" s="23" t="s">
        <v>23</v>
      </c>
      <c r="O158" s="23" t="s">
        <v>24</v>
      </c>
      <c r="P158" s="23" t="s">
        <v>25</v>
      </c>
      <c r="Q158" s="23" t="s">
        <v>26</v>
      </c>
      <c r="R158" s="23" t="s">
        <v>27</v>
      </c>
      <c r="S158" s="23" t="s">
        <v>28</v>
      </c>
      <c r="T158" s="24" t="s">
        <v>29</v>
      </c>
      <c r="V158" s="7"/>
    </row>
    <row r="159" spans="1:22" s="5" customFormat="1" ht="13.5" hidden="1" thickTop="1">
      <c r="A159" s="25" t="s">
        <v>10</v>
      </c>
      <c r="B159" s="26" t="s">
        <v>30</v>
      </c>
      <c r="C159" s="26">
        <v>0</v>
      </c>
      <c r="D159" s="26" t="s">
        <v>31</v>
      </c>
      <c r="E159" s="27" t="s">
        <v>32</v>
      </c>
      <c r="F159" s="27" t="s">
        <v>33</v>
      </c>
      <c r="G159" s="27"/>
      <c r="H159" s="27"/>
      <c r="I159" s="28">
        <f aca="true" t="shared" si="36" ref="I159:L174">I82*1.0428</f>
        <v>22775.585944429633</v>
      </c>
      <c r="J159" s="28">
        <f t="shared" si="36"/>
        <v>0</v>
      </c>
      <c r="K159" s="28">
        <f t="shared" si="36"/>
        <v>9479.63498393125</v>
      </c>
      <c r="L159" s="28">
        <f t="shared" si="36"/>
        <v>0</v>
      </c>
      <c r="M159" s="28">
        <f aca="true" t="shared" si="37" ref="M159:M222">(I159+J159)/12</f>
        <v>1897.965495369136</v>
      </c>
      <c r="N159" s="28">
        <f aca="true" t="shared" si="38" ref="N159:N222">K159/12</f>
        <v>789.9695819942708</v>
      </c>
      <c r="O159" s="28">
        <f aca="true" t="shared" si="39" ref="O159:O222">SUM(I159:N159)</f>
        <v>34943.15600572429</v>
      </c>
      <c r="P159" s="28">
        <f aca="true" t="shared" si="40" ref="P159:P222">O159*8.5/100</f>
        <v>2970.168260486565</v>
      </c>
      <c r="Q159" s="28">
        <f aca="true" t="shared" si="41" ref="Q159:Q222">O159*24.2/100</f>
        <v>8456.243753385279</v>
      </c>
      <c r="R159" s="28">
        <f>(I159+J159)*18%*24.2%</f>
        <v>992.1045237393547</v>
      </c>
      <c r="S159" s="28">
        <f aca="true" t="shared" si="42" ref="S159:S222">(I159+J159+M159)*80%*7.1%+(K159+N159)*80%*60%*7.1%</f>
        <v>1751.4458453873117</v>
      </c>
      <c r="T159" s="29">
        <f aca="true" t="shared" si="43" ref="T159:T222">O159+P159+Q159+R159+S159</f>
        <v>49113.118388722796</v>
      </c>
      <c r="V159" s="7"/>
    </row>
    <row r="160" spans="1:22" s="5" customFormat="1" ht="12.75" hidden="1">
      <c r="A160" s="30" t="s">
        <v>10</v>
      </c>
      <c r="B160" s="31" t="s">
        <v>30</v>
      </c>
      <c r="C160" s="31">
        <v>0</v>
      </c>
      <c r="D160" s="31" t="s">
        <v>34</v>
      </c>
      <c r="E160" s="32" t="s">
        <v>35</v>
      </c>
      <c r="F160" s="45" t="s">
        <v>36</v>
      </c>
      <c r="G160" s="45"/>
      <c r="H160" s="45"/>
      <c r="I160" s="33">
        <f t="shared" si="36"/>
        <v>31425.107463239277</v>
      </c>
      <c r="J160" s="33">
        <f t="shared" si="36"/>
        <v>0</v>
      </c>
      <c r="K160" s="33">
        <f t="shared" si="36"/>
        <v>10074.811106774207</v>
      </c>
      <c r="L160" s="33">
        <f t="shared" si="36"/>
        <v>7251.155640657148</v>
      </c>
      <c r="M160" s="33">
        <f t="shared" si="37"/>
        <v>2618.7589552699396</v>
      </c>
      <c r="N160" s="33">
        <f t="shared" si="38"/>
        <v>839.5675922311839</v>
      </c>
      <c r="O160" s="33">
        <f t="shared" si="39"/>
        <v>52209.40075817176</v>
      </c>
      <c r="P160" s="33">
        <f t="shared" si="40"/>
        <v>4437.7990644446</v>
      </c>
      <c r="Q160" s="33">
        <f t="shared" si="41"/>
        <v>12634.674983477564</v>
      </c>
      <c r="R160" s="33"/>
      <c r="S160" s="33">
        <f t="shared" si="42"/>
        <v>2305.6536386334274</v>
      </c>
      <c r="T160" s="34">
        <f t="shared" si="43"/>
        <v>71587.52844472736</v>
      </c>
      <c r="V160" s="7"/>
    </row>
    <row r="161" spans="1:22" s="5" customFormat="1" ht="12.75" hidden="1">
      <c r="A161" s="30" t="s">
        <v>10</v>
      </c>
      <c r="B161" s="31" t="s">
        <v>37</v>
      </c>
      <c r="C161" s="31">
        <v>0</v>
      </c>
      <c r="D161" s="31" t="s">
        <v>31</v>
      </c>
      <c r="E161" s="32" t="s">
        <v>38</v>
      </c>
      <c r="F161" s="45"/>
      <c r="G161" s="45"/>
      <c r="H161" s="45"/>
      <c r="I161" s="33">
        <f t="shared" si="36"/>
        <v>24655.918198696243</v>
      </c>
      <c r="J161" s="33">
        <f t="shared" si="36"/>
        <v>0</v>
      </c>
      <c r="K161" s="33">
        <f t="shared" si="36"/>
        <v>9609.012658180825</v>
      </c>
      <c r="L161" s="33">
        <f t="shared" si="36"/>
        <v>0</v>
      </c>
      <c r="M161" s="33">
        <f t="shared" si="37"/>
        <v>2054.6598498913536</v>
      </c>
      <c r="N161" s="33">
        <f t="shared" si="38"/>
        <v>800.7510548484021</v>
      </c>
      <c r="O161" s="33">
        <f t="shared" si="39"/>
        <v>37120.341761616815</v>
      </c>
      <c r="P161" s="33">
        <f t="shared" si="40"/>
        <v>3155.229049737429</v>
      </c>
      <c r="Q161" s="33">
        <f t="shared" si="41"/>
        <v>8983.12270631127</v>
      </c>
      <c r="R161" s="33">
        <f>(I161+J161)*18%*24.2%</f>
        <v>1074.0117967352082</v>
      </c>
      <c r="S161" s="33">
        <f t="shared" si="42"/>
        <v>1871.9255804998113</v>
      </c>
      <c r="T161" s="34">
        <f t="shared" si="43"/>
        <v>52204.630894900525</v>
      </c>
      <c r="V161" s="7"/>
    </row>
    <row r="162" spans="1:22" s="5" customFormat="1" ht="12.75" hidden="1">
      <c r="A162" s="30" t="s">
        <v>10</v>
      </c>
      <c r="B162" s="31" t="s">
        <v>37</v>
      </c>
      <c r="C162" s="31">
        <v>0</v>
      </c>
      <c r="D162" s="31" t="s">
        <v>34</v>
      </c>
      <c r="E162" s="32" t="s">
        <v>39</v>
      </c>
      <c r="F162" s="45"/>
      <c r="G162" s="45"/>
      <c r="H162" s="45"/>
      <c r="I162" s="33">
        <f t="shared" si="36"/>
        <v>34057.55663397346</v>
      </c>
      <c r="J162" s="33">
        <f t="shared" si="36"/>
        <v>0</v>
      </c>
      <c r="K162" s="33">
        <f t="shared" si="36"/>
        <v>10255.94670154036</v>
      </c>
      <c r="L162" s="33">
        <f t="shared" si="36"/>
        <v>7251.155640657148</v>
      </c>
      <c r="M162" s="33">
        <f t="shared" si="37"/>
        <v>2838.1297194977883</v>
      </c>
      <c r="N162" s="33">
        <f t="shared" si="38"/>
        <v>854.6622251283634</v>
      </c>
      <c r="O162" s="33">
        <f t="shared" si="39"/>
        <v>55257.45092079711</v>
      </c>
      <c r="P162" s="33">
        <f t="shared" si="40"/>
        <v>4696.883328267754</v>
      </c>
      <c r="Q162" s="33">
        <f t="shared" si="41"/>
        <v>13372.3031228329</v>
      </c>
      <c r="R162" s="33"/>
      <c r="S162" s="33">
        <f t="shared" si="42"/>
        <v>2474.3245370980367</v>
      </c>
      <c r="T162" s="34">
        <f t="shared" si="43"/>
        <v>75800.96190899581</v>
      </c>
      <c r="V162" s="7"/>
    </row>
    <row r="163" spans="1:22" s="5" customFormat="1" ht="12.75" hidden="1">
      <c r="A163" s="30" t="s">
        <v>10</v>
      </c>
      <c r="B163" s="31" t="s">
        <v>37</v>
      </c>
      <c r="C163" s="31">
        <v>1</v>
      </c>
      <c r="D163" s="31" t="s">
        <v>31</v>
      </c>
      <c r="E163" s="32" t="s">
        <v>40</v>
      </c>
      <c r="F163" s="45"/>
      <c r="G163" s="45"/>
      <c r="H163" s="45"/>
      <c r="I163" s="33">
        <f t="shared" si="36"/>
        <v>24655.918198696243</v>
      </c>
      <c r="J163" s="33">
        <f t="shared" si="36"/>
        <v>1972.4757395012816</v>
      </c>
      <c r="K163" s="33">
        <f t="shared" si="36"/>
        <v>9609.012658180825</v>
      </c>
      <c r="L163" s="33">
        <f t="shared" si="36"/>
        <v>0</v>
      </c>
      <c r="M163" s="33">
        <f t="shared" si="37"/>
        <v>2219.032828183127</v>
      </c>
      <c r="N163" s="33">
        <f t="shared" si="38"/>
        <v>800.7510548484021</v>
      </c>
      <c r="O163" s="33">
        <f t="shared" si="39"/>
        <v>39257.190479409874</v>
      </c>
      <c r="P163" s="33">
        <f t="shared" si="40"/>
        <v>3336.8611907498394</v>
      </c>
      <c r="Q163" s="33">
        <f t="shared" si="41"/>
        <v>9500.240096017189</v>
      </c>
      <c r="R163" s="33">
        <f>(I163+J163)*18%*24.2%</f>
        <v>1159.9328399478843</v>
      </c>
      <c r="S163" s="33">
        <f t="shared" si="42"/>
        <v>1993.2985876704572</v>
      </c>
      <c r="T163" s="34">
        <f t="shared" si="43"/>
        <v>55247.52319379524</v>
      </c>
      <c r="V163" s="7"/>
    </row>
    <row r="164" spans="1:22" s="5" customFormat="1" ht="12.75" hidden="1">
      <c r="A164" s="30" t="s">
        <v>10</v>
      </c>
      <c r="B164" s="31" t="s">
        <v>37</v>
      </c>
      <c r="C164" s="31">
        <v>1</v>
      </c>
      <c r="D164" s="31" t="s">
        <v>34</v>
      </c>
      <c r="E164" s="32" t="s">
        <v>41</v>
      </c>
      <c r="F164" s="45"/>
      <c r="G164" s="45"/>
      <c r="H164" s="45"/>
      <c r="I164" s="33">
        <f t="shared" si="36"/>
        <v>34057.55663397346</v>
      </c>
      <c r="J164" s="33">
        <f t="shared" si="36"/>
        <v>2724.6040739967602</v>
      </c>
      <c r="K164" s="33">
        <f t="shared" si="36"/>
        <v>10255.94670154036</v>
      </c>
      <c r="L164" s="33">
        <f t="shared" si="36"/>
        <v>8459.673968748066</v>
      </c>
      <c r="M164" s="33">
        <f t="shared" si="37"/>
        <v>3065.180058997518</v>
      </c>
      <c r="N164" s="33">
        <f t="shared" si="38"/>
        <v>854.6622251283634</v>
      </c>
      <c r="O164" s="33">
        <f t="shared" si="39"/>
        <v>59417.62366238452</v>
      </c>
      <c r="P164" s="33">
        <f t="shared" si="40"/>
        <v>5050.498011302684</v>
      </c>
      <c r="Q164" s="33">
        <f t="shared" si="41"/>
        <v>14379.064926297053</v>
      </c>
      <c r="R164" s="33"/>
      <c r="S164" s="33">
        <f t="shared" si="42"/>
        <v>2641.9785077846373</v>
      </c>
      <c r="T164" s="34">
        <f t="shared" si="43"/>
        <v>81489.16510776889</v>
      </c>
      <c r="V164" s="7"/>
    </row>
    <row r="165" spans="1:22" s="5" customFormat="1" ht="12.75" hidden="1">
      <c r="A165" s="30" t="s">
        <v>10</v>
      </c>
      <c r="B165" s="31" t="s">
        <v>37</v>
      </c>
      <c r="C165" s="31">
        <v>2</v>
      </c>
      <c r="D165" s="31" t="s">
        <v>31</v>
      </c>
      <c r="E165" s="32" t="s">
        <v>42</v>
      </c>
      <c r="F165" s="45"/>
      <c r="G165" s="45"/>
      <c r="H165" s="45"/>
      <c r="I165" s="33">
        <f t="shared" si="36"/>
        <v>24655.918198696243</v>
      </c>
      <c r="J165" s="33">
        <f t="shared" si="36"/>
        <v>3944.9514790025632</v>
      </c>
      <c r="K165" s="33">
        <f t="shared" si="36"/>
        <v>9609.012658180825</v>
      </c>
      <c r="L165" s="33">
        <f t="shared" si="36"/>
        <v>0</v>
      </c>
      <c r="M165" s="33">
        <f t="shared" si="37"/>
        <v>2383.4058064749006</v>
      </c>
      <c r="N165" s="33">
        <f t="shared" si="38"/>
        <v>800.7510548484021</v>
      </c>
      <c r="O165" s="33">
        <f t="shared" si="39"/>
        <v>41394.03919720293</v>
      </c>
      <c r="P165" s="33">
        <f t="shared" si="40"/>
        <v>3518.493331762249</v>
      </c>
      <c r="Q165" s="33">
        <f t="shared" si="41"/>
        <v>10017.357485723109</v>
      </c>
      <c r="R165" s="33">
        <f>(I165+J165)*18%*24.2%</f>
        <v>1245.85388316056</v>
      </c>
      <c r="S165" s="33">
        <f t="shared" si="42"/>
        <v>2114.6715948411024</v>
      </c>
      <c r="T165" s="34">
        <f t="shared" si="43"/>
        <v>58290.41549268995</v>
      </c>
      <c r="V165" s="7"/>
    </row>
    <row r="166" spans="1:22" s="5" customFormat="1" ht="12.75" hidden="1">
      <c r="A166" s="30" t="s">
        <v>10</v>
      </c>
      <c r="B166" s="31" t="s">
        <v>37</v>
      </c>
      <c r="C166" s="31">
        <v>2</v>
      </c>
      <c r="D166" s="31" t="s">
        <v>34</v>
      </c>
      <c r="E166" s="32" t="s">
        <v>43</v>
      </c>
      <c r="F166" s="45" t="s">
        <v>44</v>
      </c>
      <c r="G166" s="45"/>
      <c r="H166" s="45"/>
      <c r="I166" s="33">
        <f t="shared" si="36"/>
        <v>34057.55663397346</v>
      </c>
      <c r="J166" s="33">
        <f t="shared" si="36"/>
        <v>5449.2081479935205</v>
      </c>
      <c r="K166" s="33">
        <f t="shared" si="36"/>
        <v>10255.94670154036</v>
      </c>
      <c r="L166" s="33">
        <f t="shared" si="36"/>
        <v>8459.673968748066</v>
      </c>
      <c r="M166" s="33">
        <f t="shared" si="37"/>
        <v>3292.230398497248</v>
      </c>
      <c r="N166" s="33">
        <f t="shared" si="38"/>
        <v>854.6622251283634</v>
      </c>
      <c r="O166" s="33">
        <f t="shared" si="39"/>
        <v>62369.27807588102</v>
      </c>
      <c r="P166" s="33">
        <f t="shared" si="40"/>
        <v>5301.388636449887</v>
      </c>
      <c r="Q166" s="33">
        <f t="shared" si="41"/>
        <v>15093.365294363206</v>
      </c>
      <c r="R166" s="33"/>
      <c r="S166" s="33">
        <f t="shared" si="42"/>
        <v>2809.632478471238</v>
      </c>
      <c r="T166" s="34">
        <f t="shared" si="43"/>
        <v>85573.66448516534</v>
      </c>
      <c r="V166" s="7"/>
    </row>
    <row r="167" spans="1:22" s="5" customFormat="1" ht="12.75" hidden="1">
      <c r="A167" s="30" t="s">
        <v>10</v>
      </c>
      <c r="B167" s="31" t="s">
        <v>37</v>
      </c>
      <c r="C167" s="31">
        <v>3</v>
      </c>
      <c r="D167" s="31" t="s">
        <v>31</v>
      </c>
      <c r="E167" s="32" t="s">
        <v>45</v>
      </c>
      <c r="F167" s="45"/>
      <c r="G167" s="45"/>
      <c r="H167" s="45"/>
      <c r="I167" s="33">
        <f t="shared" si="36"/>
        <v>24655.918198696243</v>
      </c>
      <c r="J167" s="33">
        <f t="shared" si="36"/>
        <v>5917.427218503844</v>
      </c>
      <c r="K167" s="33">
        <f t="shared" si="36"/>
        <v>9609.012658180825</v>
      </c>
      <c r="L167" s="33">
        <f t="shared" si="36"/>
        <v>0</v>
      </c>
      <c r="M167" s="33">
        <f t="shared" si="37"/>
        <v>2547.7787847666737</v>
      </c>
      <c r="N167" s="33">
        <f t="shared" si="38"/>
        <v>800.7510548484021</v>
      </c>
      <c r="O167" s="33">
        <f t="shared" si="39"/>
        <v>43530.88791499598</v>
      </c>
      <c r="P167" s="33">
        <f t="shared" si="40"/>
        <v>3700.1254727746586</v>
      </c>
      <c r="Q167" s="33">
        <f t="shared" si="41"/>
        <v>10534.474875429029</v>
      </c>
      <c r="R167" s="33">
        <f>(I167+J167)*18%*24.2%</f>
        <v>1331.7749263732355</v>
      </c>
      <c r="S167" s="33">
        <f t="shared" si="42"/>
        <v>2236.044602011748</v>
      </c>
      <c r="T167" s="34">
        <f t="shared" si="43"/>
        <v>61333.307791584644</v>
      </c>
      <c r="V167" s="7"/>
    </row>
    <row r="168" spans="1:22" s="5" customFormat="1" ht="12.75" hidden="1">
      <c r="A168" s="30" t="s">
        <v>10</v>
      </c>
      <c r="B168" s="31" t="s">
        <v>37</v>
      </c>
      <c r="C168" s="31">
        <v>3</v>
      </c>
      <c r="D168" s="31" t="s">
        <v>34</v>
      </c>
      <c r="E168" s="32" t="s">
        <v>46</v>
      </c>
      <c r="F168" s="45" t="s">
        <v>47</v>
      </c>
      <c r="G168" s="45"/>
      <c r="H168" s="45"/>
      <c r="I168" s="33">
        <f t="shared" si="36"/>
        <v>34057.55663397346</v>
      </c>
      <c r="J168" s="33">
        <f t="shared" si="36"/>
        <v>8173.81222199028</v>
      </c>
      <c r="K168" s="33">
        <f t="shared" si="36"/>
        <v>10255.94670154036</v>
      </c>
      <c r="L168" s="33">
        <f t="shared" si="36"/>
        <v>9668.203714866893</v>
      </c>
      <c r="M168" s="33">
        <f t="shared" si="37"/>
        <v>3519.280737996978</v>
      </c>
      <c r="N168" s="33">
        <f t="shared" si="38"/>
        <v>854.6622251283634</v>
      </c>
      <c r="O168" s="33">
        <f t="shared" si="39"/>
        <v>66529.46223549634</v>
      </c>
      <c r="P168" s="33">
        <f t="shared" si="40"/>
        <v>5655.004290017188</v>
      </c>
      <c r="Q168" s="33">
        <f t="shared" si="41"/>
        <v>16100.129860990113</v>
      </c>
      <c r="R168" s="33"/>
      <c r="S168" s="33">
        <f t="shared" si="42"/>
        <v>2977.2864491578384</v>
      </c>
      <c r="T168" s="34">
        <f t="shared" si="43"/>
        <v>91261.88283566147</v>
      </c>
      <c r="V168" s="7"/>
    </row>
    <row r="169" spans="1:22" s="5" customFormat="1" ht="12.75" hidden="1">
      <c r="A169" s="30" t="s">
        <v>10</v>
      </c>
      <c r="B169" s="31" t="s">
        <v>37</v>
      </c>
      <c r="C169" s="31">
        <v>4</v>
      </c>
      <c r="D169" s="31" t="s">
        <v>31</v>
      </c>
      <c r="E169" s="32" t="s">
        <v>48</v>
      </c>
      <c r="F169" s="45"/>
      <c r="G169" s="45"/>
      <c r="H169" s="45"/>
      <c r="I169" s="33">
        <f t="shared" si="36"/>
        <v>24655.918198696243</v>
      </c>
      <c r="J169" s="33">
        <f t="shared" si="36"/>
        <v>7889.9029580051265</v>
      </c>
      <c r="K169" s="33">
        <f t="shared" si="36"/>
        <v>9609.012658180825</v>
      </c>
      <c r="L169" s="33">
        <f t="shared" si="36"/>
        <v>0</v>
      </c>
      <c r="M169" s="33">
        <f t="shared" si="37"/>
        <v>2712.1517630584476</v>
      </c>
      <c r="N169" s="33">
        <f t="shared" si="38"/>
        <v>800.7510548484021</v>
      </c>
      <c r="O169" s="33">
        <f t="shared" si="39"/>
        <v>45667.73663278904</v>
      </c>
      <c r="P169" s="33">
        <f t="shared" si="40"/>
        <v>3881.7576137870683</v>
      </c>
      <c r="Q169" s="33">
        <f t="shared" si="41"/>
        <v>11051.592265134947</v>
      </c>
      <c r="R169" s="33">
        <f>(I169+J169)*18%*24.2%</f>
        <v>1417.6959695859116</v>
      </c>
      <c r="S169" s="33">
        <f t="shared" si="42"/>
        <v>2357.417609182394</v>
      </c>
      <c r="T169" s="34">
        <f t="shared" si="43"/>
        <v>64376.20009047937</v>
      </c>
      <c r="V169" s="7"/>
    </row>
    <row r="170" spans="1:22" s="5" customFormat="1" ht="12.75" hidden="1">
      <c r="A170" s="30" t="s">
        <v>10</v>
      </c>
      <c r="B170" s="31" t="s">
        <v>37</v>
      </c>
      <c r="C170" s="31">
        <v>4</v>
      </c>
      <c r="D170" s="31" t="s">
        <v>34</v>
      </c>
      <c r="E170" s="32" t="s">
        <v>49</v>
      </c>
      <c r="F170" s="45" t="s">
        <v>50</v>
      </c>
      <c r="G170" s="45"/>
      <c r="H170" s="45"/>
      <c r="I170" s="33">
        <f t="shared" si="36"/>
        <v>34057.55663397346</v>
      </c>
      <c r="J170" s="33">
        <f t="shared" si="36"/>
        <v>10898.416295987041</v>
      </c>
      <c r="K170" s="33">
        <f t="shared" si="36"/>
        <v>10255.94670154036</v>
      </c>
      <c r="L170" s="33">
        <f t="shared" si="36"/>
        <v>9668.203714866893</v>
      </c>
      <c r="M170" s="33">
        <f t="shared" si="37"/>
        <v>3746.331077496708</v>
      </c>
      <c r="N170" s="33">
        <f t="shared" si="38"/>
        <v>854.6622251283634</v>
      </c>
      <c r="O170" s="33">
        <f t="shared" si="39"/>
        <v>69481.11664899283</v>
      </c>
      <c r="P170" s="33">
        <f t="shared" si="40"/>
        <v>5905.89491516439</v>
      </c>
      <c r="Q170" s="33">
        <f t="shared" si="41"/>
        <v>16814.430229056263</v>
      </c>
      <c r="R170" s="33"/>
      <c r="S170" s="33">
        <f t="shared" si="42"/>
        <v>3144.940419844439</v>
      </c>
      <c r="T170" s="34">
        <f t="shared" si="43"/>
        <v>95346.38221305792</v>
      </c>
      <c r="V170" s="7"/>
    </row>
    <row r="171" spans="1:22" s="5" customFormat="1" ht="12.75" hidden="1">
      <c r="A171" s="30" t="s">
        <v>10</v>
      </c>
      <c r="B171" s="31" t="s">
        <v>37</v>
      </c>
      <c r="C171" s="31">
        <v>5</v>
      </c>
      <c r="D171" s="31" t="s">
        <v>31</v>
      </c>
      <c r="E171" s="32" t="s">
        <v>51</v>
      </c>
      <c r="F171" s="45"/>
      <c r="G171" s="45"/>
      <c r="H171" s="45"/>
      <c r="I171" s="33">
        <f t="shared" si="36"/>
        <v>24655.918198696243</v>
      </c>
      <c r="J171" s="33">
        <f t="shared" si="36"/>
        <v>9862.378697506407</v>
      </c>
      <c r="K171" s="33">
        <f t="shared" si="36"/>
        <v>9609.012658180825</v>
      </c>
      <c r="L171" s="33">
        <f t="shared" si="36"/>
        <v>0</v>
      </c>
      <c r="M171" s="33">
        <f t="shared" si="37"/>
        <v>2876.5247413502207</v>
      </c>
      <c r="N171" s="33">
        <f t="shared" si="38"/>
        <v>800.7510548484021</v>
      </c>
      <c r="O171" s="33">
        <f t="shared" si="39"/>
        <v>47804.5853505821</v>
      </c>
      <c r="P171" s="33">
        <f t="shared" si="40"/>
        <v>4063.389754799479</v>
      </c>
      <c r="Q171" s="33">
        <f t="shared" si="41"/>
        <v>11568.709654840868</v>
      </c>
      <c r="R171" s="33">
        <f>(I171+J171)*18%*24.2%</f>
        <v>1503.6170127985872</v>
      </c>
      <c r="S171" s="33">
        <f t="shared" si="42"/>
        <v>2478.7906163530392</v>
      </c>
      <c r="T171" s="34">
        <f t="shared" si="43"/>
        <v>67419.09238937407</v>
      </c>
      <c r="V171" s="7"/>
    </row>
    <row r="172" spans="1:22" s="5" customFormat="1" ht="12.75" hidden="1">
      <c r="A172" s="30" t="s">
        <v>10</v>
      </c>
      <c r="B172" s="31" t="s">
        <v>37</v>
      </c>
      <c r="C172" s="31">
        <v>5</v>
      </c>
      <c r="D172" s="31" t="s">
        <v>34</v>
      </c>
      <c r="E172" s="32" t="s">
        <v>52</v>
      </c>
      <c r="F172" s="45" t="s">
        <v>53</v>
      </c>
      <c r="G172" s="45"/>
      <c r="H172" s="45"/>
      <c r="I172" s="33">
        <f t="shared" si="36"/>
        <v>34057.55663397346</v>
      </c>
      <c r="J172" s="33">
        <f t="shared" si="36"/>
        <v>13623.0203699838</v>
      </c>
      <c r="K172" s="33">
        <f t="shared" si="36"/>
        <v>10255.94670154036</v>
      </c>
      <c r="L172" s="33">
        <f t="shared" si="36"/>
        <v>10876.72204295781</v>
      </c>
      <c r="M172" s="33">
        <f t="shared" si="37"/>
        <v>3973.3814169964385</v>
      </c>
      <c r="N172" s="33">
        <f t="shared" si="38"/>
        <v>854.6622251283634</v>
      </c>
      <c r="O172" s="33">
        <f t="shared" si="39"/>
        <v>73641.28939058023</v>
      </c>
      <c r="P172" s="33">
        <f t="shared" si="40"/>
        <v>6259.50959819932</v>
      </c>
      <c r="Q172" s="33">
        <f t="shared" si="41"/>
        <v>17821.192032520416</v>
      </c>
      <c r="R172" s="33"/>
      <c r="S172" s="33">
        <f t="shared" si="42"/>
        <v>3312.5943905310405</v>
      </c>
      <c r="T172" s="34">
        <f t="shared" si="43"/>
        <v>101034.58541183101</v>
      </c>
      <c r="V172" s="7"/>
    </row>
    <row r="173" spans="1:22" s="5" customFormat="1" ht="12.75" hidden="1">
      <c r="A173" s="30" t="s">
        <v>10</v>
      </c>
      <c r="B173" s="31" t="s">
        <v>37</v>
      </c>
      <c r="C173" s="31">
        <v>6</v>
      </c>
      <c r="D173" s="31" t="s">
        <v>31</v>
      </c>
      <c r="E173" s="32" t="s">
        <v>54</v>
      </c>
      <c r="F173" s="45" t="s">
        <v>55</v>
      </c>
      <c r="G173" s="45"/>
      <c r="H173" s="45"/>
      <c r="I173" s="33">
        <f t="shared" si="36"/>
        <v>24655.918198696243</v>
      </c>
      <c r="J173" s="33">
        <f t="shared" si="36"/>
        <v>11834.854437007689</v>
      </c>
      <c r="K173" s="33">
        <f t="shared" si="36"/>
        <v>9609.012658180825</v>
      </c>
      <c r="L173" s="33">
        <f t="shared" si="36"/>
        <v>0</v>
      </c>
      <c r="M173" s="33">
        <f t="shared" si="37"/>
        <v>3040.8977196419946</v>
      </c>
      <c r="N173" s="33">
        <f t="shared" si="38"/>
        <v>800.7510548484021</v>
      </c>
      <c r="O173" s="33">
        <f t="shared" si="39"/>
        <v>49941.43406837516</v>
      </c>
      <c r="P173" s="33">
        <f t="shared" si="40"/>
        <v>4245.0218958118885</v>
      </c>
      <c r="Q173" s="33">
        <f t="shared" si="41"/>
        <v>12085.827044546788</v>
      </c>
      <c r="R173" s="33">
        <f>(I173+J173)*18%*24.2%</f>
        <v>1589.5380560112633</v>
      </c>
      <c r="S173" s="33">
        <f t="shared" si="42"/>
        <v>2600.1636235236847</v>
      </c>
      <c r="T173" s="34">
        <f t="shared" si="43"/>
        <v>70461.98468826879</v>
      </c>
      <c r="V173" s="7"/>
    </row>
    <row r="174" spans="1:22" s="5" customFormat="1" ht="12.75" hidden="1">
      <c r="A174" s="30" t="s">
        <v>10</v>
      </c>
      <c r="B174" s="31" t="s">
        <v>37</v>
      </c>
      <c r="C174" s="31">
        <v>6</v>
      </c>
      <c r="D174" s="31" t="s">
        <v>34</v>
      </c>
      <c r="E174" s="32" t="s">
        <v>56</v>
      </c>
      <c r="F174" s="45" t="s">
        <v>57</v>
      </c>
      <c r="G174" s="45"/>
      <c r="H174" s="45"/>
      <c r="I174" s="33">
        <f t="shared" si="36"/>
        <v>34057.55663397346</v>
      </c>
      <c r="J174" s="33">
        <f t="shared" si="36"/>
        <v>16347.62444398056</v>
      </c>
      <c r="K174" s="33">
        <f t="shared" si="36"/>
        <v>10255.94670154036</v>
      </c>
      <c r="L174" s="33">
        <f t="shared" si="36"/>
        <v>12085.25178907664</v>
      </c>
      <c r="M174" s="33">
        <f t="shared" si="37"/>
        <v>4200.431756496168</v>
      </c>
      <c r="N174" s="33">
        <f t="shared" si="38"/>
        <v>854.6622251283634</v>
      </c>
      <c r="O174" s="33">
        <f t="shared" si="39"/>
        <v>77801.47355019556</v>
      </c>
      <c r="P174" s="33">
        <f t="shared" si="40"/>
        <v>6613.125251766623</v>
      </c>
      <c r="Q174" s="33">
        <f t="shared" si="41"/>
        <v>18827.956599147325</v>
      </c>
      <c r="R174" s="33"/>
      <c r="S174" s="33">
        <f t="shared" si="42"/>
        <v>3480.24836121764</v>
      </c>
      <c r="T174" s="34">
        <f t="shared" si="43"/>
        <v>106722.80376232715</v>
      </c>
      <c r="V174" s="7"/>
    </row>
    <row r="175" spans="1:22" s="5" customFormat="1" ht="12.75" hidden="1">
      <c r="A175" s="30" t="s">
        <v>10</v>
      </c>
      <c r="B175" s="31" t="s">
        <v>37</v>
      </c>
      <c r="C175" s="31">
        <v>7</v>
      </c>
      <c r="D175" s="31" t="s">
        <v>34</v>
      </c>
      <c r="E175" s="32" t="s">
        <v>58</v>
      </c>
      <c r="F175" s="45" t="s">
        <v>59</v>
      </c>
      <c r="G175" s="45"/>
      <c r="H175" s="45"/>
      <c r="I175" s="33">
        <f aca="true" t="shared" si="44" ref="I175:L190">I98*1.0428</f>
        <v>34057.55663397346</v>
      </c>
      <c r="J175" s="33">
        <f t="shared" si="44"/>
        <v>19371.940332590082</v>
      </c>
      <c r="K175" s="33">
        <f t="shared" si="44"/>
        <v>10255.94670154036</v>
      </c>
      <c r="L175" s="33">
        <f t="shared" si="44"/>
        <v>12085.25178907664</v>
      </c>
      <c r="M175" s="33">
        <f t="shared" si="37"/>
        <v>4452.458080546962</v>
      </c>
      <c r="N175" s="33">
        <f t="shared" si="38"/>
        <v>854.6622251283634</v>
      </c>
      <c r="O175" s="33">
        <f t="shared" si="39"/>
        <v>81077.81576285588</v>
      </c>
      <c r="P175" s="33">
        <f t="shared" si="40"/>
        <v>6891.614339842749</v>
      </c>
      <c r="Q175" s="33">
        <f t="shared" si="41"/>
        <v>19620.831414611122</v>
      </c>
      <c r="R175" s="33"/>
      <c r="S175" s="33">
        <f t="shared" si="42"/>
        <v>3666.3445988967464</v>
      </c>
      <c r="T175" s="34">
        <f t="shared" si="43"/>
        <v>111256.6061162065</v>
      </c>
      <c r="V175" s="7"/>
    </row>
    <row r="176" spans="1:22" s="5" customFormat="1" ht="12.75" hidden="1">
      <c r="A176" s="30" t="s">
        <v>10</v>
      </c>
      <c r="B176" s="31" t="s">
        <v>37</v>
      </c>
      <c r="C176" s="31">
        <v>8</v>
      </c>
      <c r="D176" s="31" t="s">
        <v>34</v>
      </c>
      <c r="E176" s="32" t="s">
        <v>60</v>
      </c>
      <c r="F176" s="45" t="s">
        <v>61</v>
      </c>
      <c r="G176" s="45"/>
      <c r="H176" s="45"/>
      <c r="I176" s="33">
        <f t="shared" si="44"/>
        <v>34057.55663397346</v>
      </c>
      <c r="J176" s="33">
        <f t="shared" si="44"/>
        <v>22396.256221199605</v>
      </c>
      <c r="K176" s="33">
        <f t="shared" si="44"/>
        <v>10255.94670154036</v>
      </c>
      <c r="L176" s="33">
        <f t="shared" si="44"/>
        <v>12085.25178907664</v>
      </c>
      <c r="M176" s="33">
        <f t="shared" si="37"/>
        <v>4704.484404597755</v>
      </c>
      <c r="N176" s="33">
        <f t="shared" si="38"/>
        <v>854.6622251283634</v>
      </c>
      <c r="O176" s="33">
        <f t="shared" si="39"/>
        <v>84354.15797551618</v>
      </c>
      <c r="P176" s="33">
        <f t="shared" si="40"/>
        <v>7170.103427918876</v>
      </c>
      <c r="Q176" s="33">
        <f t="shared" si="41"/>
        <v>20413.706230074913</v>
      </c>
      <c r="R176" s="33"/>
      <c r="S176" s="33">
        <f t="shared" si="42"/>
        <v>3852.4408365758522</v>
      </c>
      <c r="T176" s="34">
        <f t="shared" si="43"/>
        <v>115790.40847008582</v>
      </c>
      <c r="V176" s="7"/>
    </row>
    <row r="177" spans="1:22" s="5" customFormat="1" ht="12.75" hidden="1">
      <c r="A177" s="30" t="s">
        <v>10</v>
      </c>
      <c r="B177" s="31" t="s">
        <v>37</v>
      </c>
      <c r="C177" s="31">
        <v>9</v>
      </c>
      <c r="D177" s="31" t="s">
        <v>34</v>
      </c>
      <c r="E177" s="32" t="s">
        <v>62</v>
      </c>
      <c r="F177" s="45" t="s">
        <v>63</v>
      </c>
      <c r="G177" s="45"/>
      <c r="H177" s="45"/>
      <c r="I177" s="33">
        <f t="shared" si="44"/>
        <v>34057.55663397346</v>
      </c>
      <c r="J177" s="33">
        <f t="shared" si="44"/>
        <v>25420.560691781215</v>
      </c>
      <c r="K177" s="33">
        <f t="shared" si="44"/>
        <v>10255.94670154036</v>
      </c>
      <c r="L177" s="33">
        <f t="shared" si="44"/>
        <v>12085.25178907664</v>
      </c>
      <c r="M177" s="33">
        <f t="shared" si="37"/>
        <v>4956.509777146223</v>
      </c>
      <c r="N177" s="33">
        <f t="shared" si="38"/>
        <v>854.6622251283634</v>
      </c>
      <c r="O177" s="33">
        <f t="shared" si="39"/>
        <v>87630.48781864626</v>
      </c>
      <c r="P177" s="33">
        <f t="shared" si="40"/>
        <v>7448.591464584932</v>
      </c>
      <c r="Q177" s="33">
        <f t="shared" si="41"/>
        <v>21206.578052112396</v>
      </c>
      <c r="R177" s="33"/>
      <c r="S177" s="33">
        <f t="shared" si="42"/>
        <v>4038.536371665641</v>
      </c>
      <c r="T177" s="34">
        <f t="shared" si="43"/>
        <v>120324.19370700922</v>
      </c>
      <c r="V177" s="7"/>
    </row>
    <row r="178" spans="1:25" s="5" customFormat="1" ht="12.75" hidden="1">
      <c r="A178" s="30" t="s">
        <v>10</v>
      </c>
      <c r="B178" s="31" t="s">
        <v>37</v>
      </c>
      <c r="C178" s="31">
        <v>10</v>
      </c>
      <c r="D178" s="31" t="s">
        <v>34</v>
      </c>
      <c r="E178" s="32" t="s">
        <v>64</v>
      </c>
      <c r="F178" s="45" t="s">
        <v>65</v>
      </c>
      <c r="G178" s="45"/>
      <c r="H178" s="45"/>
      <c r="I178" s="33">
        <f t="shared" si="44"/>
        <v>34057.55663397346</v>
      </c>
      <c r="J178" s="33">
        <f t="shared" si="44"/>
        <v>28444.876580390737</v>
      </c>
      <c r="K178" s="33">
        <f t="shared" si="44"/>
        <v>10255.94670154036</v>
      </c>
      <c r="L178" s="33">
        <f t="shared" si="44"/>
        <v>12085.25178907664</v>
      </c>
      <c r="M178" s="33">
        <f t="shared" si="37"/>
        <v>5208.536101197016</v>
      </c>
      <c r="N178" s="33">
        <f t="shared" si="38"/>
        <v>854.6622251283634</v>
      </c>
      <c r="O178" s="33">
        <f t="shared" si="39"/>
        <v>90906.83003130658</v>
      </c>
      <c r="P178" s="33">
        <f t="shared" si="40"/>
        <v>7727.080552661059</v>
      </c>
      <c r="Q178" s="33">
        <f t="shared" si="41"/>
        <v>21999.45286757619</v>
      </c>
      <c r="R178" s="33"/>
      <c r="S178" s="33">
        <f t="shared" si="42"/>
        <v>4224.632609344746</v>
      </c>
      <c r="T178" s="34">
        <f t="shared" si="43"/>
        <v>124857.99606088859</v>
      </c>
      <c r="U178" s="11"/>
      <c r="V178" s="7"/>
      <c r="X178" s="11"/>
      <c r="Y178" s="11"/>
    </row>
    <row r="179" spans="1:22" s="5" customFormat="1" ht="12.75" hidden="1">
      <c r="A179" s="30" t="s">
        <v>10</v>
      </c>
      <c r="B179" s="31" t="s">
        <v>37</v>
      </c>
      <c r="C179" s="31">
        <v>11</v>
      </c>
      <c r="D179" s="31" t="s">
        <v>34</v>
      </c>
      <c r="E179" s="32" t="s">
        <v>66</v>
      </c>
      <c r="F179" s="45" t="s">
        <v>67</v>
      </c>
      <c r="G179" s="45"/>
      <c r="H179" s="45"/>
      <c r="I179" s="33">
        <f t="shared" si="44"/>
        <v>34057.55663397346</v>
      </c>
      <c r="J179" s="33">
        <f t="shared" si="44"/>
        <v>31469.18105097235</v>
      </c>
      <c r="K179" s="33">
        <f t="shared" si="44"/>
        <v>10255.94670154036</v>
      </c>
      <c r="L179" s="33">
        <f t="shared" si="44"/>
        <v>12085.25178907664</v>
      </c>
      <c r="M179" s="33">
        <f t="shared" si="37"/>
        <v>5460.561473745484</v>
      </c>
      <c r="N179" s="33">
        <f t="shared" si="38"/>
        <v>854.6622251283634</v>
      </c>
      <c r="O179" s="33">
        <f t="shared" si="39"/>
        <v>94183.15987443668</v>
      </c>
      <c r="P179" s="33">
        <f t="shared" si="40"/>
        <v>8005.5685893271175</v>
      </c>
      <c r="Q179" s="33">
        <f t="shared" si="41"/>
        <v>22792.324689613673</v>
      </c>
      <c r="R179" s="33"/>
      <c r="S179" s="33">
        <f t="shared" si="42"/>
        <v>4410.728144434535</v>
      </c>
      <c r="T179" s="34">
        <f t="shared" si="43"/>
        <v>129391.781297812</v>
      </c>
      <c r="V179" s="7"/>
    </row>
    <row r="180" spans="1:22" s="5" customFormat="1" ht="12.75" hidden="1">
      <c r="A180" s="30" t="s">
        <v>10</v>
      </c>
      <c r="B180" s="31" t="s">
        <v>37</v>
      </c>
      <c r="C180" s="31">
        <v>12</v>
      </c>
      <c r="D180" s="31" t="s">
        <v>34</v>
      </c>
      <c r="E180" s="32" t="s">
        <v>68</v>
      </c>
      <c r="F180" s="45" t="s">
        <v>69</v>
      </c>
      <c r="G180" s="45"/>
      <c r="H180" s="45"/>
      <c r="I180" s="33">
        <f t="shared" si="44"/>
        <v>34057.55663397346</v>
      </c>
      <c r="J180" s="33">
        <f t="shared" si="44"/>
        <v>34493.49693958187</v>
      </c>
      <c r="K180" s="33">
        <f t="shared" si="44"/>
        <v>10255.94670154036</v>
      </c>
      <c r="L180" s="33">
        <f t="shared" si="44"/>
        <v>12085.25178907664</v>
      </c>
      <c r="M180" s="33">
        <f t="shared" si="37"/>
        <v>5712.587797796277</v>
      </c>
      <c r="N180" s="33">
        <f t="shared" si="38"/>
        <v>854.6622251283634</v>
      </c>
      <c r="O180" s="33">
        <f t="shared" si="39"/>
        <v>97459.50208709697</v>
      </c>
      <c r="P180" s="33">
        <f t="shared" si="40"/>
        <v>8284.057677403243</v>
      </c>
      <c r="Q180" s="33">
        <f t="shared" si="41"/>
        <v>23585.199505077464</v>
      </c>
      <c r="R180" s="33"/>
      <c r="S180" s="33">
        <f t="shared" si="42"/>
        <v>4596.824382113641</v>
      </c>
      <c r="T180" s="34">
        <f t="shared" si="43"/>
        <v>133925.58365169133</v>
      </c>
      <c r="U180" s="11"/>
      <c r="V180" s="7"/>
    </row>
    <row r="181" spans="1:22" s="5" customFormat="1" ht="12.75" hidden="1">
      <c r="A181" s="30" t="s">
        <v>10</v>
      </c>
      <c r="B181" s="31" t="s">
        <v>37</v>
      </c>
      <c r="C181" s="31">
        <v>13</v>
      </c>
      <c r="D181" s="31" t="s">
        <v>34</v>
      </c>
      <c r="E181" s="32" t="s">
        <v>70</v>
      </c>
      <c r="F181" s="45" t="s">
        <v>71</v>
      </c>
      <c r="G181" s="45"/>
      <c r="H181" s="45"/>
      <c r="I181" s="33">
        <f t="shared" si="44"/>
        <v>34057.55663397346</v>
      </c>
      <c r="J181" s="33">
        <f t="shared" si="44"/>
        <v>37517.81282819139</v>
      </c>
      <c r="K181" s="33">
        <f t="shared" si="44"/>
        <v>10255.94670154036</v>
      </c>
      <c r="L181" s="33">
        <f t="shared" si="44"/>
        <v>12085.25178907664</v>
      </c>
      <c r="M181" s="33">
        <f t="shared" si="37"/>
        <v>5964.61412184707</v>
      </c>
      <c r="N181" s="33">
        <f t="shared" si="38"/>
        <v>854.6622251283634</v>
      </c>
      <c r="O181" s="33">
        <f t="shared" si="39"/>
        <v>100735.8442997573</v>
      </c>
      <c r="P181" s="33">
        <f t="shared" si="40"/>
        <v>8562.54676547937</v>
      </c>
      <c r="Q181" s="33">
        <f t="shared" si="41"/>
        <v>24378.074320541265</v>
      </c>
      <c r="R181" s="33"/>
      <c r="S181" s="33">
        <f t="shared" si="42"/>
        <v>4782.920619792747</v>
      </c>
      <c r="T181" s="34">
        <f t="shared" si="43"/>
        <v>138459.38600557068</v>
      </c>
      <c r="V181" s="7"/>
    </row>
    <row r="182" spans="1:22" s="5" customFormat="1" ht="13.5" hidden="1" thickBot="1">
      <c r="A182" s="35" t="s">
        <v>10</v>
      </c>
      <c r="B182" s="36" t="s">
        <v>37</v>
      </c>
      <c r="C182" s="36">
        <v>14</v>
      </c>
      <c r="D182" s="36" t="s">
        <v>34</v>
      </c>
      <c r="E182" s="37" t="s">
        <v>72</v>
      </c>
      <c r="F182" s="46" t="s">
        <v>73</v>
      </c>
      <c r="G182" s="46"/>
      <c r="H182" s="46"/>
      <c r="I182" s="38">
        <f t="shared" si="44"/>
        <v>34057.55663397346</v>
      </c>
      <c r="J182" s="38">
        <f t="shared" si="44"/>
        <v>40542.117298773</v>
      </c>
      <c r="K182" s="38">
        <f t="shared" si="44"/>
        <v>10255.94670154036</v>
      </c>
      <c r="L182" s="38">
        <f t="shared" si="44"/>
        <v>12085.25178907664</v>
      </c>
      <c r="M182" s="38">
        <f t="shared" si="37"/>
        <v>6216.639494395538</v>
      </c>
      <c r="N182" s="38">
        <f t="shared" si="38"/>
        <v>854.6622251283634</v>
      </c>
      <c r="O182" s="38">
        <f t="shared" si="39"/>
        <v>104012.17414288738</v>
      </c>
      <c r="P182" s="38">
        <f t="shared" si="40"/>
        <v>8841.034802145427</v>
      </c>
      <c r="Q182" s="38">
        <f t="shared" si="41"/>
        <v>25170.946142578745</v>
      </c>
      <c r="R182" s="38"/>
      <c r="S182" s="38">
        <f t="shared" si="42"/>
        <v>4969.016154882535</v>
      </c>
      <c r="T182" s="39">
        <f t="shared" si="43"/>
        <v>142993.17124249408</v>
      </c>
      <c r="V182" s="7"/>
    </row>
    <row r="183" spans="1:22" s="5" customFormat="1" ht="13.5" hidden="1" thickTop="1">
      <c r="A183" s="25" t="s">
        <v>9</v>
      </c>
      <c r="B183" s="26" t="s">
        <v>74</v>
      </c>
      <c r="C183" s="26">
        <v>0</v>
      </c>
      <c r="D183" s="26" t="s">
        <v>31</v>
      </c>
      <c r="E183" s="27" t="s">
        <v>75</v>
      </c>
      <c r="F183" s="47" t="s">
        <v>76</v>
      </c>
      <c r="G183" s="48"/>
      <c r="H183" s="48"/>
      <c r="I183" s="33">
        <f t="shared" si="44"/>
        <v>16288.467641378225</v>
      </c>
      <c r="J183" s="33">
        <f t="shared" si="44"/>
        <v>0</v>
      </c>
      <c r="K183" s="33">
        <f t="shared" si="44"/>
        <v>9033.247182785077</v>
      </c>
      <c r="L183" s="33">
        <f t="shared" si="44"/>
        <v>0</v>
      </c>
      <c r="M183" s="28">
        <f t="shared" si="37"/>
        <v>1357.3723034481854</v>
      </c>
      <c r="N183" s="28">
        <f t="shared" si="38"/>
        <v>752.770598565423</v>
      </c>
      <c r="O183" s="28">
        <f t="shared" si="39"/>
        <v>27431.857726176913</v>
      </c>
      <c r="P183" s="28">
        <f t="shared" si="40"/>
        <v>2331.7079067250374</v>
      </c>
      <c r="Q183" s="28">
        <f t="shared" si="41"/>
        <v>6638.509569734812</v>
      </c>
      <c r="R183" s="28">
        <f>(I183+J183)*18%*24.2%</f>
        <v>709.5256504584354</v>
      </c>
      <c r="S183" s="28">
        <f t="shared" si="42"/>
        <v>1335.791194854565</v>
      </c>
      <c r="T183" s="29">
        <f>O183+P183+Q183+R183+S183</f>
        <v>38447.39204794976</v>
      </c>
      <c r="V183" s="7"/>
    </row>
    <row r="184" spans="1:22" s="5" customFormat="1" ht="12.75" hidden="1">
      <c r="A184" s="30" t="s">
        <v>9</v>
      </c>
      <c r="B184" s="31" t="s">
        <v>74</v>
      </c>
      <c r="C184" s="31">
        <v>0</v>
      </c>
      <c r="D184" s="31" t="s">
        <v>34</v>
      </c>
      <c r="E184" s="32" t="s">
        <v>77</v>
      </c>
      <c r="F184" s="45" t="s">
        <v>78</v>
      </c>
      <c r="G184" s="45"/>
      <c r="H184" s="45"/>
      <c r="I184" s="33">
        <f t="shared" si="44"/>
        <v>22343.1167193059</v>
      </c>
      <c r="J184" s="33">
        <f t="shared" si="44"/>
        <v>0</v>
      </c>
      <c r="K184" s="33">
        <f t="shared" si="44"/>
        <v>9449.856767141655</v>
      </c>
      <c r="L184" s="33">
        <f t="shared" si="44"/>
        <v>5075.80438124884</v>
      </c>
      <c r="M184" s="33">
        <f t="shared" si="37"/>
        <v>1861.9263932754918</v>
      </c>
      <c r="N184" s="33">
        <f t="shared" si="38"/>
        <v>787.4880639284712</v>
      </c>
      <c r="O184" s="33">
        <f t="shared" si="39"/>
        <v>39518.19232490036</v>
      </c>
      <c r="P184" s="33">
        <f t="shared" si="40"/>
        <v>3359.04634761653</v>
      </c>
      <c r="Q184" s="33">
        <f t="shared" si="41"/>
        <v>9563.402542625887</v>
      </c>
      <c r="R184" s="33"/>
      <c r="S184" s="33">
        <f t="shared" si="42"/>
        <v>1723.735160637493</v>
      </c>
      <c r="T184" s="34">
        <f t="shared" si="43"/>
        <v>54164.37637578027</v>
      </c>
      <c r="V184" s="7"/>
    </row>
    <row r="185" spans="1:22" s="5" customFormat="1" ht="12.75" hidden="1">
      <c r="A185" s="30" t="s">
        <v>9</v>
      </c>
      <c r="B185" s="31" t="s">
        <v>79</v>
      </c>
      <c r="C185" s="31">
        <v>0</v>
      </c>
      <c r="D185" s="31" t="s">
        <v>31</v>
      </c>
      <c r="E185" s="32" t="s">
        <v>80</v>
      </c>
      <c r="F185" s="45"/>
      <c r="G185" s="45"/>
      <c r="H185" s="45"/>
      <c r="I185" s="33">
        <f t="shared" si="44"/>
        <v>17604.69222674531</v>
      </c>
      <c r="J185" s="33">
        <f t="shared" si="44"/>
        <v>0</v>
      </c>
      <c r="K185" s="33">
        <f t="shared" si="44"/>
        <v>9123.826398196063</v>
      </c>
      <c r="L185" s="33">
        <f t="shared" si="44"/>
        <v>0</v>
      </c>
      <c r="M185" s="33">
        <f t="shared" si="37"/>
        <v>1467.057685562109</v>
      </c>
      <c r="N185" s="33">
        <f t="shared" si="38"/>
        <v>760.3188665163385</v>
      </c>
      <c r="O185" s="33">
        <f t="shared" si="39"/>
        <v>28955.89517701982</v>
      </c>
      <c r="P185" s="33">
        <f t="shared" si="40"/>
        <v>2461.2510900466846</v>
      </c>
      <c r="Q185" s="33">
        <f t="shared" si="41"/>
        <v>7007.326632838796</v>
      </c>
      <c r="R185" s="33">
        <f>(I185+J185)*18%*24.2%</f>
        <v>766.8603933970256</v>
      </c>
      <c r="S185" s="33">
        <f t="shared" si="42"/>
        <v>1420.1270656404597</v>
      </c>
      <c r="T185" s="34">
        <f t="shared" si="43"/>
        <v>40611.46035894278</v>
      </c>
      <c r="V185" s="7"/>
    </row>
    <row r="186" spans="1:22" s="5" customFormat="1" ht="12.75" hidden="1">
      <c r="A186" s="30" t="s">
        <v>9</v>
      </c>
      <c r="B186" s="31" t="s">
        <v>79</v>
      </c>
      <c r="C186" s="31">
        <v>0</v>
      </c>
      <c r="D186" s="31" t="s">
        <v>34</v>
      </c>
      <c r="E186" s="32" t="s">
        <v>81</v>
      </c>
      <c r="F186" s="45" t="s">
        <v>82</v>
      </c>
      <c r="G186" s="45"/>
      <c r="H186" s="45"/>
      <c r="I186" s="33">
        <f t="shared" si="44"/>
        <v>24185.83798963657</v>
      </c>
      <c r="J186" s="33">
        <f t="shared" si="44"/>
        <v>0</v>
      </c>
      <c r="K186" s="33">
        <f t="shared" si="44"/>
        <v>9576.653967083545</v>
      </c>
      <c r="L186" s="33">
        <f t="shared" si="44"/>
        <v>5075.80438124884</v>
      </c>
      <c r="M186" s="33">
        <f t="shared" si="37"/>
        <v>2015.4864991363809</v>
      </c>
      <c r="N186" s="33">
        <f t="shared" si="38"/>
        <v>798.054497256962</v>
      </c>
      <c r="O186" s="33">
        <f t="shared" si="39"/>
        <v>41651.837334362295</v>
      </c>
      <c r="P186" s="33">
        <f t="shared" si="40"/>
        <v>3540.4061734207953</v>
      </c>
      <c r="Q186" s="33">
        <f t="shared" si="41"/>
        <v>10079.744634915674</v>
      </c>
      <c r="R186" s="33"/>
      <c r="S186" s="33">
        <f t="shared" si="42"/>
        <v>1841.805295427028</v>
      </c>
      <c r="T186" s="34">
        <f t="shared" si="43"/>
        <v>57113.793438125795</v>
      </c>
      <c r="V186" s="7"/>
    </row>
    <row r="187" spans="1:22" s="5" customFormat="1" ht="12.75" hidden="1">
      <c r="A187" s="30" t="s">
        <v>9</v>
      </c>
      <c r="B187" s="31" t="s">
        <v>79</v>
      </c>
      <c r="C187" s="31">
        <v>1</v>
      </c>
      <c r="D187" s="31" t="s">
        <v>31</v>
      </c>
      <c r="E187" s="32" t="s">
        <v>83</v>
      </c>
      <c r="F187" s="45"/>
      <c r="G187" s="45"/>
      <c r="H187" s="45"/>
      <c r="I187" s="33">
        <f t="shared" si="44"/>
        <v>17604.69222674531</v>
      </c>
      <c r="J187" s="33">
        <f t="shared" si="44"/>
        <v>1408.3794886296726</v>
      </c>
      <c r="K187" s="33">
        <f t="shared" si="44"/>
        <v>9123.826398196063</v>
      </c>
      <c r="L187" s="33">
        <f t="shared" si="44"/>
        <v>0</v>
      </c>
      <c r="M187" s="33">
        <f t="shared" si="37"/>
        <v>1584.422642947915</v>
      </c>
      <c r="N187" s="33">
        <f t="shared" si="38"/>
        <v>760.3188665163385</v>
      </c>
      <c r="O187" s="33">
        <f t="shared" si="39"/>
        <v>30481.6396230353</v>
      </c>
      <c r="P187" s="33">
        <f t="shared" si="40"/>
        <v>2590.9393679580007</v>
      </c>
      <c r="Q187" s="33">
        <f t="shared" si="41"/>
        <v>7376.556788774543</v>
      </c>
      <c r="R187" s="33">
        <f>(I187+J187)*18%*24.2%</f>
        <v>828.2094039217341</v>
      </c>
      <c r="S187" s="33">
        <f t="shared" si="42"/>
        <v>1506.7893501741391</v>
      </c>
      <c r="T187" s="34">
        <f t="shared" si="43"/>
        <v>42784.13453386372</v>
      </c>
      <c r="V187" s="7"/>
    </row>
    <row r="188" spans="1:22" s="5" customFormat="1" ht="12.75" hidden="1">
      <c r="A188" s="30" t="s">
        <v>9</v>
      </c>
      <c r="B188" s="31" t="s">
        <v>79</v>
      </c>
      <c r="C188" s="31">
        <v>1</v>
      </c>
      <c r="D188" s="31" t="s">
        <v>34</v>
      </c>
      <c r="E188" s="32" t="s">
        <v>84</v>
      </c>
      <c r="F188" s="45"/>
      <c r="G188" s="45"/>
      <c r="H188" s="45"/>
      <c r="I188" s="33">
        <f t="shared" si="44"/>
        <v>24185.83798963657</v>
      </c>
      <c r="J188" s="33">
        <f t="shared" si="44"/>
        <v>1934.8647555653436</v>
      </c>
      <c r="K188" s="33">
        <f t="shared" si="44"/>
        <v>9576.653967083545</v>
      </c>
      <c r="L188" s="33">
        <f t="shared" si="44"/>
        <v>5921.7774871376005</v>
      </c>
      <c r="M188" s="33">
        <f t="shared" si="37"/>
        <v>2176.725228766826</v>
      </c>
      <c r="N188" s="33">
        <f t="shared" si="38"/>
        <v>798.054497256962</v>
      </c>
      <c r="O188" s="33">
        <f t="shared" si="39"/>
        <v>44593.91392544685</v>
      </c>
      <c r="P188" s="33">
        <f t="shared" si="40"/>
        <v>3790.482683662982</v>
      </c>
      <c r="Q188" s="33">
        <f t="shared" si="41"/>
        <v>10791.727169958136</v>
      </c>
      <c r="R188" s="33"/>
      <c r="S188" s="33">
        <f t="shared" si="42"/>
        <v>1960.863973386149</v>
      </c>
      <c r="T188" s="34">
        <f t="shared" si="43"/>
        <v>61136.98775245411</v>
      </c>
      <c r="V188" s="7"/>
    </row>
    <row r="189" spans="1:22" s="5" customFormat="1" ht="12.75" hidden="1">
      <c r="A189" s="30" t="s">
        <v>9</v>
      </c>
      <c r="B189" s="31" t="s">
        <v>79</v>
      </c>
      <c r="C189" s="31">
        <v>2</v>
      </c>
      <c r="D189" s="31" t="s">
        <v>31</v>
      </c>
      <c r="E189" s="32" t="s">
        <v>85</v>
      </c>
      <c r="F189" s="45"/>
      <c r="G189" s="45"/>
      <c r="H189" s="45"/>
      <c r="I189" s="33">
        <f t="shared" si="44"/>
        <v>17604.69222674531</v>
      </c>
      <c r="J189" s="33">
        <f t="shared" si="44"/>
        <v>2816.758977259345</v>
      </c>
      <c r="K189" s="33">
        <f t="shared" si="44"/>
        <v>9123.826398196063</v>
      </c>
      <c r="L189" s="33">
        <f t="shared" si="44"/>
        <v>0</v>
      </c>
      <c r="M189" s="33">
        <f t="shared" si="37"/>
        <v>1701.7876003337212</v>
      </c>
      <c r="N189" s="33">
        <f t="shared" si="38"/>
        <v>760.3188665163385</v>
      </c>
      <c r="O189" s="33">
        <f t="shared" si="39"/>
        <v>32007.38406905078</v>
      </c>
      <c r="P189" s="33">
        <f t="shared" si="40"/>
        <v>2720.627645869316</v>
      </c>
      <c r="Q189" s="33">
        <f t="shared" si="41"/>
        <v>7745.7869447102885</v>
      </c>
      <c r="R189" s="33">
        <f>(I189+J189)*18%*24.2%</f>
        <v>889.5584144464426</v>
      </c>
      <c r="S189" s="33">
        <f t="shared" si="42"/>
        <v>1593.4516347078181</v>
      </c>
      <c r="T189" s="34">
        <f t="shared" si="43"/>
        <v>44956.80870878464</v>
      </c>
      <c r="V189" s="7"/>
    </row>
    <row r="190" spans="1:22" s="5" customFormat="1" ht="12.75" hidden="1">
      <c r="A190" s="30" t="s">
        <v>9</v>
      </c>
      <c r="B190" s="31" t="s">
        <v>79</v>
      </c>
      <c r="C190" s="31">
        <v>2</v>
      </c>
      <c r="D190" s="31" t="s">
        <v>34</v>
      </c>
      <c r="E190" s="32" t="s">
        <v>86</v>
      </c>
      <c r="F190" s="45" t="s">
        <v>87</v>
      </c>
      <c r="G190" s="45"/>
      <c r="H190" s="45"/>
      <c r="I190" s="33">
        <f t="shared" si="44"/>
        <v>24185.83798963657</v>
      </c>
      <c r="J190" s="33">
        <f t="shared" si="44"/>
        <v>3869.729511130687</v>
      </c>
      <c r="K190" s="33">
        <f t="shared" si="44"/>
        <v>9576.653967083545</v>
      </c>
      <c r="L190" s="33">
        <f t="shared" si="44"/>
        <v>5921.7774871376005</v>
      </c>
      <c r="M190" s="33">
        <f t="shared" si="37"/>
        <v>2337.9639583972717</v>
      </c>
      <c r="N190" s="33">
        <f t="shared" si="38"/>
        <v>798.054497256962</v>
      </c>
      <c r="O190" s="33">
        <f t="shared" si="39"/>
        <v>46690.01741064264</v>
      </c>
      <c r="P190" s="33">
        <f t="shared" si="40"/>
        <v>3968.651479904625</v>
      </c>
      <c r="Q190" s="33">
        <f t="shared" si="41"/>
        <v>11298.98421337552</v>
      </c>
      <c r="R190" s="33"/>
      <c r="S190" s="33">
        <f t="shared" si="42"/>
        <v>2079.9226513452695</v>
      </c>
      <c r="T190" s="34">
        <f t="shared" si="43"/>
        <v>64037.57575526805</v>
      </c>
      <c r="V190" s="7"/>
    </row>
    <row r="191" spans="1:22" s="5" customFormat="1" ht="12.75" hidden="1">
      <c r="A191" s="30" t="s">
        <v>9</v>
      </c>
      <c r="B191" s="31" t="s">
        <v>79</v>
      </c>
      <c r="C191" s="31">
        <v>3</v>
      </c>
      <c r="D191" s="31" t="s">
        <v>31</v>
      </c>
      <c r="E191" s="32" t="s">
        <v>88</v>
      </c>
      <c r="F191" s="45" t="s">
        <v>89</v>
      </c>
      <c r="G191" s="45"/>
      <c r="H191" s="45"/>
      <c r="I191" s="33">
        <f aca="true" t="shared" si="45" ref="I191:L206">I114*1.0428</f>
        <v>17604.69222674531</v>
      </c>
      <c r="J191" s="33">
        <f t="shared" si="45"/>
        <v>4225.138465889017</v>
      </c>
      <c r="K191" s="33">
        <f t="shared" si="45"/>
        <v>9123.826398196063</v>
      </c>
      <c r="L191" s="33">
        <f t="shared" si="45"/>
        <v>0</v>
      </c>
      <c r="M191" s="33">
        <f t="shared" si="37"/>
        <v>1819.152557719527</v>
      </c>
      <c r="N191" s="33">
        <f t="shared" si="38"/>
        <v>760.3188665163385</v>
      </c>
      <c r="O191" s="33">
        <f t="shared" si="39"/>
        <v>33533.12851506625</v>
      </c>
      <c r="P191" s="33">
        <f t="shared" si="40"/>
        <v>2850.3159237806312</v>
      </c>
      <c r="Q191" s="33">
        <f t="shared" si="41"/>
        <v>8115.017100646032</v>
      </c>
      <c r="R191" s="33">
        <f>(I191+J191)*18%*24.2%</f>
        <v>950.907424971151</v>
      </c>
      <c r="S191" s="33">
        <f t="shared" si="42"/>
        <v>1680.1139192414973</v>
      </c>
      <c r="T191" s="34">
        <f t="shared" si="43"/>
        <v>47129.48288370556</v>
      </c>
      <c r="V191" s="7"/>
    </row>
    <row r="192" spans="1:22" s="5" customFormat="1" ht="12.75" hidden="1">
      <c r="A192" s="30" t="s">
        <v>9</v>
      </c>
      <c r="B192" s="31" t="s">
        <v>79</v>
      </c>
      <c r="C192" s="31">
        <v>3</v>
      </c>
      <c r="D192" s="31" t="s">
        <v>34</v>
      </c>
      <c r="E192" s="32" t="s">
        <v>90</v>
      </c>
      <c r="F192" s="45" t="s">
        <v>91</v>
      </c>
      <c r="G192" s="45"/>
      <c r="H192" s="45"/>
      <c r="I192" s="33">
        <f t="shared" si="45"/>
        <v>24185.83798963657</v>
      </c>
      <c r="J192" s="33">
        <f t="shared" si="45"/>
        <v>5804.59426669603</v>
      </c>
      <c r="K192" s="33">
        <f t="shared" si="45"/>
        <v>9576.653967083545</v>
      </c>
      <c r="L192" s="33">
        <f t="shared" si="45"/>
        <v>6767.739174998453</v>
      </c>
      <c r="M192" s="33">
        <f t="shared" si="37"/>
        <v>2499.2026880277167</v>
      </c>
      <c r="N192" s="33">
        <f t="shared" si="38"/>
        <v>798.054497256962</v>
      </c>
      <c r="O192" s="33">
        <f t="shared" si="39"/>
        <v>49632.08258369928</v>
      </c>
      <c r="P192" s="33">
        <f t="shared" si="40"/>
        <v>4218.727019614439</v>
      </c>
      <c r="Q192" s="33">
        <f t="shared" si="41"/>
        <v>12010.963985255226</v>
      </c>
      <c r="R192" s="33"/>
      <c r="S192" s="33">
        <f t="shared" si="42"/>
        <v>2198.98132930439</v>
      </c>
      <c r="T192" s="34">
        <f t="shared" si="43"/>
        <v>68060.75491787333</v>
      </c>
      <c r="V192" s="7"/>
    </row>
    <row r="193" spans="1:22" s="5" customFormat="1" ht="12.75" hidden="1">
      <c r="A193" s="30" t="s">
        <v>9</v>
      </c>
      <c r="B193" s="31" t="s">
        <v>79</v>
      </c>
      <c r="C193" s="31">
        <v>4</v>
      </c>
      <c r="D193" s="31" t="s">
        <v>31</v>
      </c>
      <c r="E193" s="32" t="s">
        <v>92</v>
      </c>
      <c r="F193" s="45"/>
      <c r="G193" s="45"/>
      <c r="H193" s="45"/>
      <c r="I193" s="33">
        <f t="shared" si="45"/>
        <v>17604.69222674531</v>
      </c>
      <c r="J193" s="33">
        <f t="shared" si="45"/>
        <v>5633.51795451869</v>
      </c>
      <c r="K193" s="33">
        <f t="shared" si="45"/>
        <v>9123.826398196063</v>
      </c>
      <c r="L193" s="33">
        <f t="shared" si="45"/>
        <v>0</v>
      </c>
      <c r="M193" s="33">
        <f t="shared" si="37"/>
        <v>1936.5175151053334</v>
      </c>
      <c r="N193" s="33">
        <f t="shared" si="38"/>
        <v>760.3188665163385</v>
      </c>
      <c r="O193" s="33">
        <f t="shared" si="39"/>
        <v>35058.87296108173</v>
      </c>
      <c r="P193" s="33">
        <f t="shared" si="40"/>
        <v>2980.004201691947</v>
      </c>
      <c r="Q193" s="33">
        <f t="shared" si="41"/>
        <v>8484.247256581779</v>
      </c>
      <c r="R193" s="33">
        <f>(I193+J193)*18%*24.2%</f>
        <v>1012.2564354958597</v>
      </c>
      <c r="S193" s="33">
        <f t="shared" si="42"/>
        <v>1766.7762037751768</v>
      </c>
      <c r="T193" s="34">
        <f t="shared" si="43"/>
        <v>49302.15705862649</v>
      </c>
      <c r="V193" s="7"/>
    </row>
    <row r="194" spans="1:22" s="5" customFormat="1" ht="12.75" hidden="1">
      <c r="A194" s="30" t="s">
        <v>9</v>
      </c>
      <c r="B194" s="31" t="s">
        <v>79</v>
      </c>
      <c r="C194" s="31">
        <v>4</v>
      </c>
      <c r="D194" s="31" t="s">
        <v>34</v>
      </c>
      <c r="E194" s="32" t="s">
        <v>93</v>
      </c>
      <c r="F194" s="45" t="s">
        <v>94</v>
      </c>
      <c r="G194" s="45"/>
      <c r="H194" s="45"/>
      <c r="I194" s="33">
        <f t="shared" si="45"/>
        <v>24185.83798963657</v>
      </c>
      <c r="J194" s="33">
        <f t="shared" si="45"/>
        <v>7739.459022261374</v>
      </c>
      <c r="K194" s="33">
        <f t="shared" si="45"/>
        <v>9576.653967083545</v>
      </c>
      <c r="L194" s="33">
        <f t="shared" si="45"/>
        <v>6767.739174998453</v>
      </c>
      <c r="M194" s="33">
        <f t="shared" si="37"/>
        <v>2660.4414176581618</v>
      </c>
      <c r="N194" s="33">
        <f t="shared" si="38"/>
        <v>798.054497256962</v>
      </c>
      <c r="O194" s="33">
        <f t="shared" si="39"/>
        <v>51728.18606889507</v>
      </c>
      <c r="P194" s="33">
        <f t="shared" si="40"/>
        <v>4396.895815856081</v>
      </c>
      <c r="Q194" s="33">
        <f t="shared" si="41"/>
        <v>12518.221028672606</v>
      </c>
      <c r="R194" s="33"/>
      <c r="S194" s="33">
        <f t="shared" si="42"/>
        <v>2318.040007263511</v>
      </c>
      <c r="T194" s="34">
        <f t="shared" si="43"/>
        <v>70961.34292068727</v>
      </c>
      <c r="V194" s="7"/>
    </row>
    <row r="195" spans="1:22" s="5" customFormat="1" ht="12.75" hidden="1">
      <c r="A195" s="30" t="s">
        <v>9</v>
      </c>
      <c r="B195" s="31" t="s">
        <v>79</v>
      </c>
      <c r="C195" s="31">
        <v>5</v>
      </c>
      <c r="D195" s="31" t="s">
        <v>31</v>
      </c>
      <c r="E195" s="32" t="s">
        <v>95</v>
      </c>
      <c r="F195" s="45"/>
      <c r="G195" s="45"/>
      <c r="H195" s="45"/>
      <c r="I195" s="33">
        <f t="shared" si="45"/>
        <v>17604.69222674531</v>
      </c>
      <c r="J195" s="33">
        <f t="shared" si="45"/>
        <v>7041.897443148363</v>
      </c>
      <c r="K195" s="33">
        <f t="shared" si="45"/>
        <v>9123.826398196063</v>
      </c>
      <c r="L195" s="33">
        <f t="shared" si="45"/>
        <v>0</v>
      </c>
      <c r="M195" s="33">
        <f t="shared" si="37"/>
        <v>2053.882472491139</v>
      </c>
      <c r="N195" s="33">
        <f t="shared" si="38"/>
        <v>760.3188665163385</v>
      </c>
      <c r="O195" s="33">
        <f t="shared" si="39"/>
        <v>36584.61740709721</v>
      </c>
      <c r="P195" s="33">
        <f t="shared" si="40"/>
        <v>3109.692479603263</v>
      </c>
      <c r="Q195" s="33">
        <f t="shared" si="41"/>
        <v>8853.477412517524</v>
      </c>
      <c r="R195" s="33">
        <f>(I195+J195)*18%*24.2%</f>
        <v>1073.6054460205683</v>
      </c>
      <c r="S195" s="33">
        <f t="shared" si="42"/>
        <v>1853.4384883088558</v>
      </c>
      <c r="T195" s="34">
        <f t="shared" si="43"/>
        <v>51474.831233547426</v>
      </c>
      <c r="V195" s="7"/>
    </row>
    <row r="196" spans="1:22" s="5" customFormat="1" ht="12.75" hidden="1">
      <c r="A196" s="30" t="s">
        <v>9</v>
      </c>
      <c r="B196" s="31" t="s">
        <v>79</v>
      </c>
      <c r="C196" s="31">
        <v>5</v>
      </c>
      <c r="D196" s="31" t="s">
        <v>34</v>
      </c>
      <c r="E196" s="32" t="s">
        <v>96</v>
      </c>
      <c r="F196" s="45" t="s">
        <v>97</v>
      </c>
      <c r="G196" s="45"/>
      <c r="H196" s="45"/>
      <c r="I196" s="33">
        <f t="shared" si="45"/>
        <v>24185.83798963657</v>
      </c>
      <c r="J196" s="33">
        <f t="shared" si="45"/>
        <v>9674.323777826721</v>
      </c>
      <c r="K196" s="33">
        <f t="shared" si="45"/>
        <v>9576.653967083545</v>
      </c>
      <c r="L196" s="33">
        <f t="shared" si="45"/>
        <v>7613.712280887212</v>
      </c>
      <c r="M196" s="33">
        <f t="shared" si="37"/>
        <v>2821.6801472886073</v>
      </c>
      <c r="N196" s="33">
        <f t="shared" si="38"/>
        <v>798.054497256962</v>
      </c>
      <c r="O196" s="33">
        <f t="shared" si="39"/>
        <v>54670.26265997961</v>
      </c>
      <c r="P196" s="33">
        <f t="shared" si="40"/>
        <v>4646.972326098267</v>
      </c>
      <c r="Q196" s="33">
        <f t="shared" si="41"/>
        <v>13230.203563715066</v>
      </c>
      <c r="R196" s="33"/>
      <c r="S196" s="33">
        <f t="shared" si="42"/>
        <v>2437.098685222632</v>
      </c>
      <c r="T196" s="34">
        <f t="shared" si="43"/>
        <v>74984.53723501558</v>
      </c>
      <c r="V196" s="7"/>
    </row>
    <row r="197" spans="1:22" s="5" customFormat="1" ht="12.75" hidden="1">
      <c r="A197" s="30" t="s">
        <v>9</v>
      </c>
      <c r="B197" s="31" t="s">
        <v>79</v>
      </c>
      <c r="C197" s="31">
        <v>6</v>
      </c>
      <c r="D197" s="31" t="s">
        <v>31</v>
      </c>
      <c r="E197" s="32" t="s">
        <v>98</v>
      </c>
      <c r="F197" s="45" t="s">
        <v>99</v>
      </c>
      <c r="G197" s="45"/>
      <c r="H197" s="45"/>
      <c r="I197" s="33">
        <f t="shared" si="45"/>
        <v>17604.69222674531</v>
      </c>
      <c r="J197" s="33">
        <f t="shared" si="45"/>
        <v>8450.276931778035</v>
      </c>
      <c r="K197" s="33">
        <f t="shared" si="45"/>
        <v>9123.826398196063</v>
      </c>
      <c r="L197" s="33">
        <f t="shared" si="45"/>
        <v>0</v>
      </c>
      <c r="M197" s="33">
        <f t="shared" si="37"/>
        <v>2171.2474298769453</v>
      </c>
      <c r="N197" s="33">
        <f t="shared" si="38"/>
        <v>760.3188665163385</v>
      </c>
      <c r="O197" s="33">
        <f t="shared" si="39"/>
        <v>38110.36185311269</v>
      </c>
      <c r="P197" s="33">
        <f t="shared" si="40"/>
        <v>3239.380757514579</v>
      </c>
      <c r="Q197" s="33">
        <f t="shared" si="41"/>
        <v>9222.70756845327</v>
      </c>
      <c r="R197" s="33">
        <f>(I197+J197)*18%*24.2%</f>
        <v>1134.9544565452768</v>
      </c>
      <c r="S197" s="33">
        <f t="shared" si="42"/>
        <v>1940.1007728425352</v>
      </c>
      <c r="T197" s="34">
        <f t="shared" si="43"/>
        <v>53647.50540846834</v>
      </c>
      <c r="V197" s="7"/>
    </row>
    <row r="198" spans="1:22" s="5" customFormat="1" ht="12.75" hidden="1">
      <c r="A198" s="30" t="s">
        <v>9</v>
      </c>
      <c r="B198" s="31" t="s">
        <v>79</v>
      </c>
      <c r="C198" s="31">
        <v>6</v>
      </c>
      <c r="D198" s="31" t="s">
        <v>34</v>
      </c>
      <c r="E198" s="32" t="s">
        <v>100</v>
      </c>
      <c r="F198" s="45" t="s">
        <v>101</v>
      </c>
      <c r="G198" s="45"/>
      <c r="H198" s="45"/>
      <c r="I198" s="33">
        <f t="shared" si="45"/>
        <v>24185.83798963657</v>
      </c>
      <c r="J198" s="33">
        <f t="shared" si="45"/>
        <v>11609.18853339206</v>
      </c>
      <c r="K198" s="33">
        <f t="shared" si="45"/>
        <v>9576.653967083545</v>
      </c>
      <c r="L198" s="33">
        <f t="shared" si="45"/>
        <v>8459.673968748066</v>
      </c>
      <c r="M198" s="33">
        <f t="shared" si="37"/>
        <v>2982.9188769190528</v>
      </c>
      <c r="N198" s="33">
        <f t="shared" si="38"/>
        <v>798.054497256962</v>
      </c>
      <c r="O198" s="33">
        <f t="shared" si="39"/>
        <v>57612.32783303626</v>
      </c>
      <c r="P198" s="33">
        <f t="shared" si="40"/>
        <v>4897.047865808082</v>
      </c>
      <c r="Q198" s="33">
        <f t="shared" si="41"/>
        <v>13942.183335594775</v>
      </c>
      <c r="R198" s="33"/>
      <c r="S198" s="33">
        <f t="shared" si="42"/>
        <v>2556.1573631817528</v>
      </c>
      <c r="T198" s="34">
        <f t="shared" si="43"/>
        <v>79007.71639762088</v>
      </c>
      <c r="V198" s="7"/>
    </row>
    <row r="199" spans="1:22" s="5" customFormat="1" ht="12.75" hidden="1">
      <c r="A199" s="30" t="s">
        <v>9</v>
      </c>
      <c r="B199" s="31" t="s">
        <v>79</v>
      </c>
      <c r="C199" s="31">
        <v>7</v>
      </c>
      <c r="D199" s="31" t="s">
        <v>34</v>
      </c>
      <c r="E199" s="32" t="s">
        <v>102</v>
      </c>
      <c r="F199" s="45" t="s">
        <v>103</v>
      </c>
      <c r="G199" s="45"/>
      <c r="H199" s="45"/>
      <c r="I199" s="33">
        <f t="shared" si="45"/>
        <v>24185.83798963657</v>
      </c>
      <c r="J199" s="33">
        <f t="shared" si="45"/>
        <v>13756.908165257877</v>
      </c>
      <c r="K199" s="33">
        <f t="shared" si="45"/>
        <v>9576.653967083545</v>
      </c>
      <c r="L199" s="33">
        <f t="shared" si="45"/>
        <v>8459.673968748066</v>
      </c>
      <c r="M199" s="33">
        <f t="shared" si="37"/>
        <v>3161.895512907871</v>
      </c>
      <c r="N199" s="33">
        <f t="shared" si="38"/>
        <v>798.054497256962</v>
      </c>
      <c r="O199" s="33">
        <f t="shared" si="39"/>
        <v>59939.024100890885</v>
      </c>
      <c r="P199" s="33">
        <f t="shared" si="40"/>
        <v>5094.8170485757255</v>
      </c>
      <c r="Q199" s="33">
        <f t="shared" si="41"/>
        <v>14505.243832415594</v>
      </c>
      <c r="R199" s="33"/>
      <c r="S199" s="33">
        <f t="shared" si="42"/>
        <v>2688.313711195896</v>
      </c>
      <c r="T199" s="34">
        <f t="shared" si="43"/>
        <v>82227.3986930781</v>
      </c>
      <c r="V199" s="7"/>
    </row>
    <row r="200" spans="1:22" s="5" customFormat="1" ht="12.75" hidden="1">
      <c r="A200" s="30" t="s">
        <v>9</v>
      </c>
      <c r="B200" s="31" t="s">
        <v>79</v>
      </c>
      <c r="C200" s="31">
        <v>8</v>
      </c>
      <c r="D200" s="31" t="s">
        <v>34</v>
      </c>
      <c r="E200" s="32" t="s">
        <v>104</v>
      </c>
      <c r="F200" s="45" t="s">
        <v>105</v>
      </c>
      <c r="G200" s="45"/>
      <c r="H200" s="45"/>
      <c r="I200" s="33">
        <f t="shared" si="45"/>
        <v>24185.83798963657</v>
      </c>
      <c r="J200" s="33">
        <f t="shared" si="45"/>
        <v>15904.604961067873</v>
      </c>
      <c r="K200" s="33">
        <f t="shared" si="45"/>
        <v>9576.653967083545</v>
      </c>
      <c r="L200" s="33">
        <f t="shared" si="45"/>
        <v>8459.673968748066</v>
      </c>
      <c r="M200" s="33">
        <f t="shared" si="37"/>
        <v>3340.8702458920366</v>
      </c>
      <c r="N200" s="33">
        <f t="shared" si="38"/>
        <v>798.054497256962</v>
      </c>
      <c r="O200" s="33">
        <f t="shared" si="39"/>
        <v>62265.695629685055</v>
      </c>
      <c r="P200" s="33">
        <f t="shared" si="40"/>
        <v>5292.584128523229</v>
      </c>
      <c r="Q200" s="33">
        <f t="shared" si="41"/>
        <v>15068.298342383783</v>
      </c>
      <c r="R200" s="33"/>
      <c r="S200" s="33">
        <f t="shared" si="42"/>
        <v>2820.4686540314046</v>
      </c>
      <c r="T200" s="34">
        <f t="shared" si="43"/>
        <v>85447.04675462347</v>
      </c>
      <c r="V200" s="7"/>
    </row>
    <row r="201" spans="1:22" s="5" customFormat="1" ht="12.75" hidden="1">
      <c r="A201" s="30" t="s">
        <v>9</v>
      </c>
      <c r="B201" s="31" t="s">
        <v>79</v>
      </c>
      <c r="C201" s="31">
        <v>9</v>
      </c>
      <c r="D201" s="31" t="s">
        <v>34</v>
      </c>
      <c r="E201" s="32" t="s">
        <v>106</v>
      </c>
      <c r="F201" s="45" t="s">
        <v>107</v>
      </c>
      <c r="G201" s="45"/>
      <c r="H201" s="45"/>
      <c r="I201" s="33">
        <f t="shared" si="45"/>
        <v>24185.83798963657</v>
      </c>
      <c r="J201" s="33">
        <f t="shared" si="45"/>
        <v>18052.31317490578</v>
      </c>
      <c r="K201" s="33">
        <f t="shared" si="45"/>
        <v>9576.653967083545</v>
      </c>
      <c r="L201" s="33">
        <f t="shared" si="45"/>
        <v>8459.673968748066</v>
      </c>
      <c r="M201" s="33">
        <f t="shared" si="37"/>
        <v>3519.845930378529</v>
      </c>
      <c r="N201" s="33">
        <f t="shared" si="38"/>
        <v>798.054497256962</v>
      </c>
      <c r="O201" s="33">
        <f t="shared" si="39"/>
        <v>64592.37952800945</v>
      </c>
      <c r="P201" s="33">
        <f t="shared" si="40"/>
        <v>5490.352259880802</v>
      </c>
      <c r="Q201" s="33">
        <f t="shared" si="41"/>
        <v>15631.355845778286</v>
      </c>
      <c r="R201" s="33"/>
      <c r="S201" s="33">
        <f t="shared" si="42"/>
        <v>2952.62429945623</v>
      </c>
      <c r="T201" s="34">
        <f t="shared" si="43"/>
        <v>88666.71193312477</v>
      </c>
      <c r="V201" s="7"/>
    </row>
    <row r="202" spans="1:22" s="5" customFormat="1" ht="12.75" hidden="1">
      <c r="A202" s="30" t="s">
        <v>9</v>
      </c>
      <c r="B202" s="31" t="s">
        <v>79</v>
      </c>
      <c r="C202" s="31">
        <v>10</v>
      </c>
      <c r="D202" s="31" t="s">
        <v>34</v>
      </c>
      <c r="E202" s="32" t="s">
        <v>108</v>
      </c>
      <c r="F202" s="45" t="s">
        <v>109</v>
      </c>
      <c r="G202" s="45"/>
      <c r="H202" s="45"/>
      <c r="I202" s="33">
        <f t="shared" si="45"/>
        <v>24185.83798963657</v>
      </c>
      <c r="J202" s="33">
        <f t="shared" si="45"/>
        <v>20200.009970715775</v>
      </c>
      <c r="K202" s="33">
        <f t="shared" si="45"/>
        <v>9576.653967083545</v>
      </c>
      <c r="L202" s="33">
        <f t="shared" si="45"/>
        <v>8459.673968748066</v>
      </c>
      <c r="M202" s="33">
        <f t="shared" si="37"/>
        <v>3698.8206633626955</v>
      </c>
      <c r="N202" s="33">
        <f t="shared" si="38"/>
        <v>798.054497256962</v>
      </c>
      <c r="O202" s="33">
        <f t="shared" si="39"/>
        <v>66919.05105680361</v>
      </c>
      <c r="P202" s="33">
        <f t="shared" si="40"/>
        <v>5688.119339828308</v>
      </c>
      <c r="Q202" s="33">
        <f t="shared" si="41"/>
        <v>16194.410355746473</v>
      </c>
      <c r="R202" s="33"/>
      <c r="S202" s="33">
        <f t="shared" si="42"/>
        <v>3084.7792422917387</v>
      </c>
      <c r="T202" s="34">
        <f t="shared" si="43"/>
        <v>91886.35999467013</v>
      </c>
      <c r="V202" s="7"/>
    </row>
    <row r="203" spans="1:22" s="5" customFormat="1" ht="12.75" hidden="1">
      <c r="A203" s="30" t="s">
        <v>9</v>
      </c>
      <c r="B203" s="31" t="s">
        <v>79</v>
      </c>
      <c r="C203" s="31">
        <v>11</v>
      </c>
      <c r="D203" s="31" t="s">
        <v>34</v>
      </c>
      <c r="E203" s="32" t="s">
        <v>110</v>
      </c>
      <c r="F203" s="45" t="s">
        <v>111</v>
      </c>
      <c r="G203" s="45"/>
      <c r="H203" s="45"/>
      <c r="I203" s="33">
        <f t="shared" si="45"/>
        <v>24185.83798963657</v>
      </c>
      <c r="J203" s="33">
        <f t="shared" si="45"/>
        <v>22347.71818455368</v>
      </c>
      <c r="K203" s="33">
        <f t="shared" si="45"/>
        <v>9576.653967083545</v>
      </c>
      <c r="L203" s="33">
        <f t="shared" si="45"/>
        <v>8459.673968748066</v>
      </c>
      <c r="M203" s="33">
        <f t="shared" si="37"/>
        <v>3877.7963478491874</v>
      </c>
      <c r="N203" s="33">
        <f t="shared" si="38"/>
        <v>798.054497256962</v>
      </c>
      <c r="O203" s="33">
        <f t="shared" si="39"/>
        <v>69245.73495512802</v>
      </c>
      <c r="P203" s="33">
        <f t="shared" si="40"/>
        <v>5885.887471185882</v>
      </c>
      <c r="Q203" s="33">
        <f t="shared" si="41"/>
        <v>16757.467859140983</v>
      </c>
      <c r="R203" s="33"/>
      <c r="S203" s="33">
        <f t="shared" si="42"/>
        <v>3216.9348877165644</v>
      </c>
      <c r="T203" s="34">
        <f t="shared" si="43"/>
        <v>95106.02517317144</v>
      </c>
      <c r="V203" s="7"/>
    </row>
    <row r="204" spans="1:22" s="5" customFormat="1" ht="12.75" hidden="1">
      <c r="A204" s="30" t="s">
        <v>9</v>
      </c>
      <c r="B204" s="31" t="s">
        <v>79</v>
      </c>
      <c r="C204" s="31">
        <v>12</v>
      </c>
      <c r="D204" s="31" t="s">
        <v>34</v>
      </c>
      <c r="E204" s="32" t="s">
        <v>112</v>
      </c>
      <c r="F204" s="45" t="s">
        <v>113</v>
      </c>
      <c r="G204" s="45"/>
      <c r="H204" s="45"/>
      <c r="I204" s="33">
        <f t="shared" si="45"/>
        <v>24185.83798963657</v>
      </c>
      <c r="J204" s="33">
        <f t="shared" si="45"/>
        <v>24495.414980363676</v>
      </c>
      <c r="K204" s="33">
        <f t="shared" si="45"/>
        <v>9576.653967083545</v>
      </c>
      <c r="L204" s="33">
        <f t="shared" si="45"/>
        <v>8459.673968748066</v>
      </c>
      <c r="M204" s="33">
        <f t="shared" si="37"/>
        <v>4056.771080833354</v>
      </c>
      <c r="N204" s="33">
        <f t="shared" si="38"/>
        <v>798.054497256962</v>
      </c>
      <c r="O204" s="33">
        <f t="shared" si="39"/>
        <v>71572.40648392217</v>
      </c>
      <c r="P204" s="33">
        <f t="shared" si="40"/>
        <v>6083.654551133384</v>
      </c>
      <c r="Q204" s="33">
        <f t="shared" si="41"/>
        <v>17320.522369109163</v>
      </c>
      <c r="R204" s="33"/>
      <c r="S204" s="33">
        <f t="shared" si="42"/>
        <v>3349.0898305520727</v>
      </c>
      <c r="T204" s="34">
        <f t="shared" si="43"/>
        <v>98325.67323471679</v>
      </c>
      <c r="V204" s="7"/>
    </row>
    <row r="205" spans="1:22" s="5" customFormat="1" ht="12.75" hidden="1">
      <c r="A205" s="30" t="s">
        <v>9</v>
      </c>
      <c r="B205" s="31" t="s">
        <v>79</v>
      </c>
      <c r="C205" s="31">
        <v>13</v>
      </c>
      <c r="D205" s="31" t="s">
        <v>34</v>
      </c>
      <c r="E205" s="32" t="s">
        <v>114</v>
      </c>
      <c r="F205" s="45" t="s">
        <v>115</v>
      </c>
      <c r="G205" s="45"/>
      <c r="H205" s="45"/>
      <c r="I205" s="33">
        <f t="shared" si="45"/>
        <v>24185.83798963657</v>
      </c>
      <c r="J205" s="33">
        <f t="shared" si="45"/>
        <v>26643.12319420158</v>
      </c>
      <c r="K205" s="33">
        <f t="shared" si="45"/>
        <v>9576.653967083545</v>
      </c>
      <c r="L205" s="33">
        <f t="shared" si="45"/>
        <v>8459.673968748066</v>
      </c>
      <c r="M205" s="33">
        <f t="shared" si="37"/>
        <v>4235.746765319846</v>
      </c>
      <c r="N205" s="33">
        <f t="shared" si="38"/>
        <v>798.054497256962</v>
      </c>
      <c r="O205" s="33">
        <f t="shared" si="39"/>
        <v>73899.09038224656</v>
      </c>
      <c r="P205" s="33">
        <f t="shared" si="40"/>
        <v>6281.422682490957</v>
      </c>
      <c r="Q205" s="33">
        <f t="shared" si="41"/>
        <v>17883.579872503666</v>
      </c>
      <c r="R205" s="33"/>
      <c r="S205" s="33">
        <f t="shared" si="42"/>
        <v>3481.245475976899</v>
      </c>
      <c r="T205" s="34">
        <f t="shared" si="43"/>
        <v>101545.3384132181</v>
      </c>
      <c r="V205" s="7"/>
    </row>
    <row r="206" spans="1:22" s="5" customFormat="1" ht="13.5" hidden="1" thickBot="1">
      <c r="A206" s="35" t="s">
        <v>9</v>
      </c>
      <c r="B206" s="36" t="s">
        <v>79</v>
      </c>
      <c r="C206" s="36">
        <v>14</v>
      </c>
      <c r="D206" s="36" t="s">
        <v>34</v>
      </c>
      <c r="E206" s="37" t="s">
        <v>116</v>
      </c>
      <c r="F206" s="46" t="s">
        <v>117</v>
      </c>
      <c r="G206" s="46"/>
      <c r="H206" s="46"/>
      <c r="I206" s="38">
        <f t="shared" si="45"/>
        <v>24185.83798963657</v>
      </c>
      <c r="J206" s="38">
        <f t="shared" si="45"/>
        <v>28790.819990011576</v>
      </c>
      <c r="K206" s="38">
        <f t="shared" si="45"/>
        <v>9576.653967083545</v>
      </c>
      <c r="L206" s="38">
        <f t="shared" si="45"/>
        <v>8459.673968748066</v>
      </c>
      <c r="M206" s="38">
        <f t="shared" si="37"/>
        <v>4414.721498304012</v>
      </c>
      <c r="N206" s="38">
        <f t="shared" si="38"/>
        <v>798.054497256962</v>
      </c>
      <c r="O206" s="38">
        <f t="shared" si="39"/>
        <v>76225.76191104072</v>
      </c>
      <c r="P206" s="38">
        <f t="shared" si="40"/>
        <v>6479.189762438461</v>
      </c>
      <c r="Q206" s="38">
        <f t="shared" si="41"/>
        <v>18446.634382471853</v>
      </c>
      <c r="R206" s="38"/>
      <c r="S206" s="38">
        <f t="shared" si="42"/>
        <v>3613.4004188124068</v>
      </c>
      <c r="T206" s="39">
        <f t="shared" si="43"/>
        <v>104764.98647476344</v>
      </c>
      <c r="V206" s="7"/>
    </row>
    <row r="207" spans="1:22" s="5" customFormat="1" ht="12.75" hidden="1">
      <c r="A207" s="40" t="s">
        <v>8</v>
      </c>
      <c r="B207" s="41" t="s">
        <v>118</v>
      </c>
      <c r="C207" s="41" t="s">
        <v>119</v>
      </c>
      <c r="D207" s="41"/>
      <c r="E207" s="42" t="s">
        <v>120</v>
      </c>
      <c r="F207" s="48" t="s">
        <v>121</v>
      </c>
      <c r="G207" s="48"/>
      <c r="H207" s="48"/>
      <c r="I207" s="33">
        <f aca="true" t="shared" si="46" ref="I207:L222">I130*1.0428</f>
        <v>11747.472269411535</v>
      </c>
      <c r="J207" s="33">
        <f t="shared" si="46"/>
        <v>0</v>
      </c>
      <c r="K207" s="33">
        <f t="shared" si="46"/>
        <v>8715.997277302367</v>
      </c>
      <c r="L207" s="33">
        <f t="shared" si="46"/>
        <v>0</v>
      </c>
      <c r="M207" s="43">
        <f t="shared" si="37"/>
        <v>978.9560224509613</v>
      </c>
      <c r="N207" s="43">
        <f t="shared" si="38"/>
        <v>726.333106441864</v>
      </c>
      <c r="O207" s="43">
        <f t="shared" si="39"/>
        <v>22168.75867560673</v>
      </c>
      <c r="P207" s="43">
        <f t="shared" si="40"/>
        <v>1884.344487426572</v>
      </c>
      <c r="Q207" s="43">
        <f t="shared" si="41"/>
        <v>5364.839599496828</v>
      </c>
      <c r="R207" s="33">
        <f>(I207+J207)*18%*24.2%</f>
        <v>511.71989205556645</v>
      </c>
      <c r="S207" s="43">
        <f t="shared" si="42"/>
        <v>1044.6557464557932</v>
      </c>
      <c r="T207" s="44">
        <f t="shared" si="43"/>
        <v>30974.318401041488</v>
      </c>
      <c r="V207" s="7"/>
    </row>
    <row r="208" spans="1:22" s="5" customFormat="1" ht="12.75" hidden="1">
      <c r="A208" s="30" t="s">
        <v>8</v>
      </c>
      <c r="B208" s="31" t="s">
        <v>118</v>
      </c>
      <c r="C208" s="31" t="s">
        <v>122</v>
      </c>
      <c r="D208" s="31"/>
      <c r="E208" s="32" t="s">
        <v>120</v>
      </c>
      <c r="F208" s="45"/>
      <c r="G208" s="45"/>
      <c r="H208" s="45"/>
      <c r="I208" s="33">
        <f t="shared" si="46"/>
        <v>15640.18170351413</v>
      </c>
      <c r="J208" s="33">
        <f t="shared" si="46"/>
        <v>0</v>
      </c>
      <c r="K208" s="33">
        <f t="shared" si="46"/>
        <v>6614.899736999158</v>
      </c>
      <c r="L208" s="33">
        <f t="shared" si="46"/>
        <v>3553.0630668741883</v>
      </c>
      <c r="M208" s="33">
        <f t="shared" si="37"/>
        <v>1303.3484752928441</v>
      </c>
      <c r="N208" s="33">
        <f t="shared" si="38"/>
        <v>551.2416447499298</v>
      </c>
      <c r="O208" s="33">
        <f t="shared" si="39"/>
        <v>27662.73462743025</v>
      </c>
      <c r="P208" s="33">
        <f t="shared" si="40"/>
        <v>2351.3324433315715</v>
      </c>
      <c r="Q208" s="33">
        <f t="shared" si="41"/>
        <v>6694.381779838121</v>
      </c>
      <c r="R208" s="33"/>
      <c r="S208" s="33">
        <f t="shared" si="42"/>
        <v>1206.614612446245</v>
      </c>
      <c r="T208" s="34">
        <f t="shared" si="43"/>
        <v>37915.063463046194</v>
      </c>
      <c r="V208" s="7"/>
    </row>
    <row r="209" spans="1:22" s="5" customFormat="1" ht="12.75" hidden="1">
      <c r="A209" s="30" t="s">
        <v>8</v>
      </c>
      <c r="B209" s="31" t="s">
        <v>123</v>
      </c>
      <c r="C209" s="31">
        <v>0</v>
      </c>
      <c r="D209" s="31" t="s">
        <v>31</v>
      </c>
      <c r="E209" s="32" t="s">
        <v>124</v>
      </c>
      <c r="F209" s="45" t="s">
        <v>125</v>
      </c>
      <c r="G209" s="45"/>
      <c r="H209" s="45"/>
      <c r="I209" s="33">
        <f t="shared" si="46"/>
        <v>12668.827195562913</v>
      </c>
      <c r="J209" s="33">
        <f t="shared" si="46"/>
        <v>0</v>
      </c>
      <c r="K209" s="33">
        <f t="shared" si="46"/>
        <v>8797.45348841317</v>
      </c>
      <c r="L209" s="33">
        <f t="shared" si="46"/>
        <v>0</v>
      </c>
      <c r="M209" s="33">
        <f t="shared" si="37"/>
        <v>1055.7355996302429</v>
      </c>
      <c r="N209" s="33">
        <f t="shared" si="38"/>
        <v>733.1211240344309</v>
      </c>
      <c r="O209" s="33">
        <f t="shared" si="39"/>
        <v>23255.137407640756</v>
      </c>
      <c r="P209" s="33">
        <f t="shared" si="40"/>
        <v>1976.6866796494642</v>
      </c>
      <c r="Q209" s="33">
        <f t="shared" si="41"/>
        <v>5627.743252649063</v>
      </c>
      <c r="R209" s="33">
        <f>(I209+J209)*18%*24.2%</f>
        <v>551.8541126387205</v>
      </c>
      <c r="S209" s="33">
        <f t="shared" si="42"/>
        <v>1104.3571495591855</v>
      </c>
      <c r="T209" s="34">
        <f t="shared" si="43"/>
        <v>32515.77860213719</v>
      </c>
      <c r="V209" s="7"/>
    </row>
    <row r="210" spans="1:22" s="5" customFormat="1" ht="12.75" hidden="1">
      <c r="A210" s="30" t="s">
        <v>8</v>
      </c>
      <c r="B210" s="31" t="s">
        <v>123</v>
      </c>
      <c r="C210" s="31">
        <v>0</v>
      </c>
      <c r="D210" s="31" t="s">
        <v>34</v>
      </c>
      <c r="E210" s="32" t="s">
        <v>126</v>
      </c>
      <c r="F210" s="45" t="s">
        <v>127</v>
      </c>
      <c r="G210" s="45"/>
      <c r="H210" s="45"/>
      <c r="I210" s="33">
        <f t="shared" si="46"/>
        <v>17275.63608040354</v>
      </c>
      <c r="J210" s="33">
        <f t="shared" si="46"/>
        <v>0</v>
      </c>
      <c r="K210" s="33">
        <f t="shared" si="46"/>
        <v>9033.66964981775</v>
      </c>
      <c r="L210" s="33">
        <f t="shared" si="46"/>
        <v>3553.0619250713967</v>
      </c>
      <c r="M210" s="33">
        <f t="shared" si="37"/>
        <v>1439.6363400336284</v>
      </c>
      <c r="N210" s="33">
        <f t="shared" si="38"/>
        <v>752.8058041514792</v>
      </c>
      <c r="O210" s="33">
        <f t="shared" si="39"/>
        <v>32054.809799477793</v>
      </c>
      <c r="P210" s="33">
        <f t="shared" si="40"/>
        <v>2724.6588329556125</v>
      </c>
      <c r="Q210" s="33">
        <f t="shared" si="41"/>
        <v>7757.263971473626</v>
      </c>
      <c r="R210" s="33"/>
      <c r="S210" s="33">
        <f t="shared" si="42"/>
        <v>1396.5505569521024</v>
      </c>
      <c r="T210" s="34">
        <f t="shared" si="43"/>
        <v>43933.28316085914</v>
      </c>
      <c r="V210" s="7"/>
    </row>
    <row r="211" spans="1:22" s="5" customFormat="1" ht="12.75" hidden="1">
      <c r="A211" s="30" t="s">
        <v>8</v>
      </c>
      <c r="B211" s="31" t="s">
        <v>123</v>
      </c>
      <c r="C211" s="31">
        <v>1</v>
      </c>
      <c r="D211" s="31" t="s">
        <v>31</v>
      </c>
      <c r="E211" s="32" t="s">
        <v>128</v>
      </c>
      <c r="F211" s="45"/>
      <c r="G211" s="45"/>
      <c r="H211" s="45"/>
      <c r="I211" s="33">
        <f t="shared" si="46"/>
        <v>12668.827195562913</v>
      </c>
      <c r="J211" s="33">
        <f t="shared" si="46"/>
        <v>1013.5098294139643</v>
      </c>
      <c r="K211" s="33">
        <f t="shared" si="46"/>
        <v>8797.45348841317</v>
      </c>
      <c r="L211" s="33">
        <f t="shared" si="46"/>
        <v>0</v>
      </c>
      <c r="M211" s="33">
        <f t="shared" si="37"/>
        <v>1140.1947520814065</v>
      </c>
      <c r="N211" s="33">
        <f t="shared" si="38"/>
        <v>733.1211240344309</v>
      </c>
      <c r="O211" s="33">
        <f t="shared" si="39"/>
        <v>24353.106389505887</v>
      </c>
      <c r="P211" s="33">
        <f t="shared" si="40"/>
        <v>2070.0140431080004</v>
      </c>
      <c r="Q211" s="33">
        <f t="shared" si="41"/>
        <v>5893.451746260424</v>
      </c>
      <c r="R211" s="33">
        <f>(I211+J211)*18%*24.2%</f>
        <v>596.0026008079927</v>
      </c>
      <c r="S211" s="33">
        <f t="shared" si="42"/>
        <v>1166.7217877291246</v>
      </c>
      <c r="T211" s="34">
        <f t="shared" si="43"/>
        <v>34079.29656741143</v>
      </c>
      <c r="V211" s="7"/>
    </row>
    <row r="212" spans="1:22" s="5" customFormat="1" ht="12.75" hidden="1">
      <c r="A212" s="30" t="s">
        <v>8</v>
      </c>
      <c r="B212" s="31" t="s">
        <v>123</v>
      </c>
      <c r="C212" s="31">
        <v>1</v>
      </c>
      <c r="D212" s="31" t="s">
        <v>34</v>
      </c>
      <c r="E212" s="32" t="s">
        <v>129</v>
      </c>
      <c r="F212" s="45" t="s">
        <v>130</v>
      </c>
      <c r="G212" s="45"/>
      <c r="H212" s="45"/>
      <c r="I212" s="33">
        <f t="shared" si="46"/>
        <v>17275.63608040354</v>
      </c>
      <c r="J212" s="33">
        <f t="shared" si="46"/>
        <v>1382.0495162689342</v>
      </c>
      <c r="K212" s="33">
        <f t="shared" si="46"/>
        <v>9033.66964981775</v>
      </c>
      <c r="L212" s="33">
        <f t="shared" si="46"/>
        <v>4145.235106573992</v>
      </c>
      <c r="M212" s="33">
        <f t="shared" si="37"/>
        <v>1554.8071330560394</v>
      </c>
      <c r="N212" s="33">
        <f t="shared" si="38"/>
        <v>752.8058041514792</v>
      </c>
      <c r="O212" s="33">
        <f t="shared" si="39"/>
        <v>34144.20329027174</v>
      </c>
      <c r="P212" s="33">
        <f t="shared" si="40"/>
        <v>2902.257279673098</v>
      </c>
      <c r="Q212" s="33">
        <f t="shared" si="41"/>
        <v>8262.89719624576</v>
      </c>
      <c r="R212" s="33"/>
      <c r="S212" s="33">
        <f t="shared" si="42"/>
        <v>1481.5926705198506</v>
      </c>
      <c r="T212" s="34">
        <f t="shared" si="43"/>
        <v>46790.950436710446</v>
      </c>
      <c r="V212" s="7"/>
    </row>
    <row r="213" spans="1:22" s="5" customFormat="1" ht="12.75" hidden="1">
      <c r="A213" s="30" t="s">
        <v>8</v>
      </c>
      <c r="B213" s="31" t="s">
        <v>123</v>
      </c>
      <c r="C213" s="31">
        <v>2</v>
      </c>
      <c r="D213" s="31" t="s">
        <v>31</v>
      </c>
      <c r="E213" s="32" t="s">
        <v>131</v>
      </c>
      <c r="F213" s="45"/>
      <c r="G213" s="45"/>
      <c r="H213" s="45"/>
      <c r="I213" s="33">
        <f t="shared" si="46"/>
        <v>12668.827195562913</v>
      </c>
      <c r="J213" s="33">
        <f t="shared" si="46"/>
        <v>2027.0196588279287</v>
      </c>
      <c r="K213" s="33">
        <f t="shared" si="46"/>
        <v>8797.45348841317</v>
      </c>
      <c r="L213" s="33">
        <f t="shared" si="46"/>
        <v>0</v>
      </c>
      <c r="M213" s="33">
        <f t="shared" si="37"/>
        <v>1224.65390453257</v>
      </c>
      <c r="N213" s="33">
        <f t="shared" si="38"/>
        <v>733.1211240344309</v>
      </c>
      <c r="O213" s="33">
        <f t="shared" si="39"/>
        <v>25451.07537137101</v>
      </c>
      <c r="P213" s="33">
        <f t="shared" si="40"/>
        <v>2163.341406566536</v>
      </c>
      <c r="Q213" s="33">
        <f t="shared" si="41"/>
        <v>6159.160239871784</v>
      </c>
      <c r="R213" s="33">
        <f>(I213+J213)*18%*24.2%</f>
        <v>640.1510889772651</v>
      </c>
      <c r="S213" s="33">
        <f t="shared" si="42"/>
        <v>1229.086425899064</v>
      </c>
      <c r="T213" s="34">
        <f t="shared" si="43"/>
        <v>35642.814532685654</v>
      </c>
      <c r="V213" s="7"/>
    </row>
    <row r="214" spans="1:22" s="5" customFormat="1" ht="12.75" hidden="1">
      <c r="A214" s="30" t="s">
        <v>8</v>
      </c>
      <c r="B214" s="31" t="s">
        <v>123</v>
      </c>
      <c r="C214" s="31">
        <v>2</v>
      </c>
      <c r="D214" s="31" t="s">
        <v>34</v>
      </c>
      <c r="E214" s="32" t="s">
        <v>132</v>
      </c>
      <c r="F214" s="45" t="s">
        <v>133</v>
      </c>
      <c r="G214" s="45"/>
      <c r="H214" s="45"/>
      <c r="I214" s="33">
        <f t="shared" si="46"/>
        <v>17275.63608040354</v>
      </c>
      <c r="J214" s="33">
        <f t="shared" si="46"/>
        <v>2764.0990325378684</v>
      </c>
      <c r="K214" s="33">
        <f t="shared" si="46"/>
        <v>9033.66964981775</v>
      </c>
      <c r="L214" s="33">
        <f t="shared" si="46"/>
        <v>4145.235106573992</v>
      </c>
      <c r="M214" s="33">
        <f t="shared" si="37"/>
        <v>1669.9779260784508</v>
      </c>
      <c r="N214" s="33">
        <f t="shared" si="38"/>
        <v>752.8058041514792</v>
      </c>
      <c r="O214" s="33">
        <f t="shared" si="39"/>
        <v>35641.42359956308</v>
      </c>
      <c r="P214" s="33">
        <f t="shared" si="40"/>
        <v>3029.5210059628616</v>
      </c>
      <c r="Q214" s="33">
        <f t="shared" si="41"/>
        <v>8625.224511094266</v>
      </c>
      <c r="R214" s="33"/>
      <c r="S214" s="33">
        <f t="shared" si="42"/>
        <v>1566.6347840875992</v>
      </c>
      <c r="T214" s="34">
        <f t="shared" si="43"/>
        <v>48862.803900707804</v>
      </c>
      <c r="V214" s="7"/>
    </row>
    <row r="215" spans="1:22" s="5" customFormat="1" ht="12.75" hidden="1">
      <c r="A215" s="30" t="s">
        <v>8</v>
      </c>
      <c r="B215" s="31" t="s">
        <v>123</v>
      </c>
      <c r="C215" s="31">
        <v>3</v>
      </c>
      <c r="D215" s="31" t="s">
        <v>31</v>
      </c>
      <c r="E215" s="32" t="s">
        <v>134</v>
      </c>
      <c r="F215" s="45"/>
      <c r="G215" s="45"/>
      <c r="H215" s="45"/>
      <c r="I215" s="33">
        <f t="shared" si="46"/>
        <v>12668.827195562913</v>
      </c>
      <c r="J215" s="33">
        <f t="shared" si="46"/>
        <v>3040.529488241893</v>
      </c>
      <c r="K215" s="33">
        <f t="shared" si="46"/>
        <v>8797.45348841317</v>
      </c>
      <c r="L215" s="33">
        <f t="shared" si="46"/>
        <v>0</v>
      </c>
      <c r="M215" s="33">
        <f t="shared" si="37"/>
        <v>1309.113056983734</v>
      </c>
      <c r="N215" s="33">
        <f t="shared" si="38"/>
        <v>733.1211240344309</v>
      </c>
      <c r="O215" s="33">
        <f t="shared" si="39"/>
        <v>26549.044353236142</v>
      </c>
      <c r="P215" s="33">
        <f t="shared" si="40"/>
        <v>2256.6687700250723</v>
      </c>
      <c r="Q215" s="33">
        <f t="shared" si="41"/>
        <v>6424.868733483147</v>
      </c>
      <c r="R215" s="33">
        <f>(I215+J215)*18%*24.2%</f>
        <v>684.2995771465373</v>
      </c>
      <c r="S215" s="33">
        <f t="shared" si="42"/>
        <v>1291.4510640690032</v>
      </c>
      <c r="T215" s="34">
        <f t="shared" si="43"/>
        <v>37206.332497959906</v>
      </c>
      <c r="V215" s="7"/>
    </row>
    <row r="216" spans="1:22" s="5" customFormat="1" ht="12.75" hidden="1">
      <c r="A216" s="30" t="s">
        <v>8</v>
      </c>
      <c r="B216" s="31" t="s">
        <v>123</v>
      </c>
      <c r="C216" s="31">
        <v>3</v>
      </c>
      <c r="D216" s="31" t="s">
        <v>34</v>
      </c>
      <c r="E216" s="32" t="s">
        <v>135</v>
      </c>
      <c r="F216" s="45" t="s">
        <v>136</v>
      </c>
      <c r="G216" s="45"/>
      <c r="H216" s="45"/>
      <c r="I216" s="33">
        <f t="shared" si="46"/>
        <v>17275.63608040354</v>
      </c>
      <c r="J216" s="33">
        <f t="shared" si="46"/>
        <v>4146.148548806803</v>
      </c>
      <c r="K216" s="33">
        <f t="shared" si="46"/>
        <v>9033.66964981775</v>
      </c>
      <c r="L216" s="33">
        <f t="shared" si="46"/>
        <v>4737.419706104499</v>
      </c>
      <c r="M216" s="33">
        <f t="shared" si="37"/>
        <v>1785.1487191008619</v>
      </c>
      <c r="N216" s="33">
        <f t="shared" si="38"/>
        <v>752.8058041514792</v>
      </c>
      <c r="O216" s="33">
        <f t="shared" si="39"/>
        <v>37730.82850838493</v>
      </c>
      <c r="P216" s="33">
        <f t="shared" si="40"/>
        <v>3207.1204232127197</v>
      </c>
      <c r="Q216" s="33">
        <f t="shared" si="41"/>
        <v>9130.860499029153</v>
      </c>
      <c r="R216" s="33"/>
      <c r="S216" s="33">
        <f t="shared" si="42"/>
        <v>1651.6768976553478</v>
      </c>
      <c r="T216" s="34">
        <f t="shared" si="43"/>
        <v>51720.48632828215</v>
      </c>
      <c r="V216" s="7"/>
    </row>
    <row r="217" spans="1:22" s="5" customFormat="1" ht="12.75" hidden="1">
      <c r="A217" s="30" t="s">
        <v>8</v>
      </c>
      <c r="B217" s="31" t="s">
        <v>123</v>
      </c>
      <c r="C217" s="31">
        <v>4</v>
      </c>
      <c r="D217" s="31" t="s">
        <v>31</v>
      </c>
      <c r="E217" s="32" t="s">
        <v>137</v>
      </c>
      <c r="F217" s="45" t="s">
        <v>138</v>
      </c>
      <c r="G217" s="45"/>
      <c r="H217" s="45"/>
      <c r="I217" s="33">
        <f t="shared" si="46"/>
        <v>12668.827195562913</v>
      </c>
      <c r="J217" s="33">
        <f t="shared" si="46"/>
        <v>4054.0393176558573</v>
      </c>
      <c r="K217" s="33">
        <f t="shared" si="46"/>
        <v>8797.45348841317</v>
      </c>
      <c r="L217" s="33">
        <f t="shared" si="46"/>
        <v>0</v>
      </c>
      <c r="M217" s="33">
        <f t="shared" si="37"/>
        <v>1393.5722094348976</v>
      </c>
      <c r="N217" s="33">
        <f t="shared" si="38"/>
        <v>733.1211240344309</v>
      </c>
      <c r="O217" s="33">
        <f t="shared" si="39"/>
        <v>27647.013335101266</v>
      </c>
      <c r="P217" s="33">
        <f t="shared" si="40"/>
        <v>2349.9961334836075</v>
      </c>
      <c r="Q217" s="33">
        <f t="shared" si="41"/>
        <v>6690.577227094506</v>
      </c>
      <c r="R217" s="33">
        <f>(I217+J217)*18%*24.2%</f>
        <v>728.4480653158096</v>
      </c>
      <c r="S217" s="33">
        <f t="shared" si="42"/>
        <v>1353.8157022389423</v>
      </c>
      <c r="T217" s="34">
        <f t="shared" si="43"/>
        <v>38769.850463234136</v>
      </c>
      <c r="V217" s="7"/>
    </row>
    <row r="218" spans="1:22" s="5" customFormat="1" ht="12.75" hidden="1">
      <c r="A218" s="30" t="s">
        <v>8</v>
      </c>
      <c r="B218" s="31" t="s">
        <v>123</v>
      </c>
      <c r="C218" s="31">
        <v>4</v>
      </c>
      <c r="D218" s="31" t="s">
        <v>34</v>
      </c>
      <c r="E218" s="32" t="s">
        <v>139</v>
      </c>
      <c r="F218" s="45" t="s">
        <v>140</v>
      </c>
      <c r="G218" s="45"/>
      <c r="H218" s="45"/>
      <c r="I218" s="33">
        <f t="shared" si="46"/>
        <v>17275.63608040354</v>
      </c>
      <c r="J218" s="33">
        <f t="shared" si="46"/>
        <v>5528.198065075737</v>
      </c>
      <c r="K218" s="33">
        <f t="shared" si="46"/>
        <v>9033.66964981775</v>
      </c>
      <c r="L218" s="33">
        <f t="shared" si="46"/>
        <v>4737.419706104499</v>
      </c>
      <c r="M218" s="33">
        <f t="shared" si="37"/>
        <v>1900.319512123273</v>
      </c>
      <c r="N218" s="33">
        <f t="shared" si="38"/>
        <v>752.8058041514792</v>
      </c>
      <c r="O218" s="33">
        <f t="shared" si="39"/>
        <v>39228.048817676274</v>
      </c>
      <c r="P218" s="33">
        <f t="shared" si="40"/>
        <v>3334.384149502483</v>
      </c>
      <c r="Q218" s="33">
        <f t="shared" si="41"/>
        <v>9493.187813877657</v>
      </c>
      <c r="R218" s="33"/>
      <c r="S218" s="33">
        <f t="shared" si="42"/>
        <v>1736.7190112230958</v>
      </c>
      <c r="T218" s="34">
        <f t="shared" si="43"/>
        <v>53792.33979227951</v>
      </c>
      <c r="V218" s="7"/>
    </row>
    <row r="219" spans="1:22" s="5" customFormat="1" ht="12.75" hidden="1">
      <c r="A219" s="30" t="s">
        <v>8</v>
      </c>
      <c r="B219" s="31" t="s">
        <v>123</v>
      </c>
      <c r="C219" s="31">
        <v>5</v>
      </c>
      <c r="D219" s="31" t="s">
        <v>31</v>
      </c>
      <c r="E219" s="32" t="s">
        <v>141</v>
      </c>
      <c r="F219" s="45"/>
      <c r="G219" s="45"/>
      <c r="H219" s="45"/>
      <c r="I219" s="33">
        <f t="shared" si="46"/>
        <v>12668.827195562913</v>
      </c>
      <c r="J219" s="33">
        <f t="shared" si="46"/>
        <v>5067.549147069821</v>
      </c>
      <c r="K219" s="33">
        <f t="shared" si="46"/>
        <v>8797.45348841317</v>
      </c>
      <c r="L219" s="33">
        <f t="shared" si="46"/>
        <v>0</v>
      </c>
      <c r="M219" s="33">
        <f t="shared" si="37"/>
        <v>1478.0313618860612</v>
      </c>
      <c r="N219" s="33">
        <f t="shared" si="38"/>
        <v>733.1211240344309</v>
      </c>
      <c r="O219" s="33">
        <f t="shared" si="39"/>
        <v>28744.982316966398</v>
      </c>
      <c r="P219" s="33">
        <f t="shared" si="40"/>
        <v>2443.3234969421437</v>
      </c>
      <c r="Q219" s="33">
        <f t="shared" si="41"/>
        <v>6956.285720705869</v>
      </c>
      <c r="R219" s="33">
        <f>(I219+J219)*18%*24.2%</f>
        <v>772.5965534850819</v>
      </c>
      <c r="S219" s="33">
        <f t="shared" si="42"/>
        <v>1416.1803404088816</v>
      </c>
      <c r="T219" s="34">
        <f t="shared" si="43"/>
        <v>40333.36842850837</v>
      </c>
      <c r="V219" s="7"/>
    </row>
    <row r="220" spans="1:22" s="5" customFormat="1" ht="12.75" hidden="1">
      <c r="A220" s="30" t="s">
        <v>8</v>
      </c>
      <c r="B220" s="31" t="s">
        <v>123</v>
      </c>
      <c r="C220" s="31">
        <v>5</v>
      </c>
      <c r="D220" s="31" t="s">
        <v>34</v>
      </c>
      <c r="E220" s="32" t="s">
        <v>142</v>
      </c>
      <c r="F220" s="45" t="s">
        <v>143</v>
      </c>
      <c r="G220" s="45"/>
      <c r="H220" s="45"/>
      <c r="I220" s="33">
        <f t="shared" si="46"/>
        <v>17275.63608040354</v>
      </c>
      <c r="J220" s="33">
        <f t="shared" si="46"/>
        <v>6910.247581344671</v>
      </c>
      <c r="K220" s="33">
        <f t="shared" si="46"/>
        <v>9033.66964981775</v>
      </c>
      <c r="L220" s="33">
        <f t="shared" si="46"/>
        <v>5329.592887607094</v>
      </c>
      <c r="M220" s="33">
        <f t="shared" si="37"/>
        <v>2015.490305145684</v>
      </c>
      <c r="N220" s="33">
        <f t="shared" si="38"/>
        <v>752.8058041514792</v>
      </c>
      <c r="O220" s="33">
        <f t="shared" si="39"/>
        <v>41317.442308470214</v>
      </c>
      <c r="P220" s="33">
        <f t="shared" si="40"/>
        <v>3511.9825962199684</v>
      </c>
      <c r="Q220" s="33">
        <f t="shared" si="41"/>
        <v>9998.82103864979</v>
      </c>
      <c r="R220" s="33"/>
      <c r="S220" s="33">
        <f t="shared" si="42"/>
        <v>1821.7611247908446</v>
      </c>
      <c r="T220" s="34">
        <f t="shared" si="43"/>
        <v>56650.00706813081</v>
      </c>
      <c r="V220" s="7"/>
    </row>
    <row r="221" spans="1:22" s="5" customFormat="1" ht="12.75" hidden="1">
      <c r="A221" s="30" t="s">
        <v>8</v>
      </c>
      <c r="B221" s="31" t="s">
        <v>123</v>
      </c>
      <c r="C221" s="31">
        <v>6</v>
      </c>
      <c r="D221" s="31" t="s">
        <v>31</v>
      </c>
      <c r="E221" s="32" t="s">
        <v>144</v>
      </c>
      <c r="F221" s="45" t="s">
        <v>145</v>
      </c>
      <c r="G221" s="45"/>
      <c r="H221" s="45"/>
      <c r="I221" s="33">
        <f t="shared" si="46"/>
        <v>12668.827195562913</v>
      </c>
      <c r="J221" s="33">
        <f t="shared" si="46"/>
        <v>6081.058976483786</v>
      </c>
      <c r="K221" s="33">
        <f t="shared" si="46"/>
        <v>8797.45348841317</v>
      </c>
      <c r="L221" s="33">
        <f t="shared" si="46"/>
        <v>0</v>
      </c>
      <c r="M221" s="33">
        <f t="shared" si="37"/>
        <v>1562.490514337225</v>
      </c>
      <c r="N221" s="33">
        <f t="shared" si="38"/>
        <v>733.1211240344309</v>
      </c>
      <c r="O221" s="33">
        <f t="shared" si="39"/>
        <v>29842.951298831522</v>
      </c>
      <c r="P221" s="33">
        <f t="shared" si="40"/>
        <v>2536.6508604006794</v>
      </c>
      <c r="Q221" s="33">
        <f t="shared" si="41"/>
        <v>7221.994214317228</v>
      </c>
      <c r="R221" s="33">
        <f>(I221+J221)*18%*24.2%</f>
        <v>816.7450416543542</v>
      </c>
      <c r="S221" s="33">
        <f t="shared" si="42"/>
        <v>1478.544978578821</v>
      </c>
      <c r="T221" s="34">
        <f t="shared" si="43"/>
        <v>41896.8863937826</v>
      </c>
      <c r="V221" s="7"/>
    </row>
    <row r="222" spans="1:22" s="5" customFormat="1" ht="12.75" hidden="1">
      <c r="A222" s="30" t="s">
        <v>8</v>
      </c>
      <c r="B222" s="31" t="s">
        <v>123</v>
      </c>
      <c r="C222" s="31">
        <v>6</v>
      </c>
      <c r="D222" s="31" t="s">
        <v>34</v>
      </c>
      <c r="E222" s="32" t="s">
        <v>146</v>
      </c>
      <c r="F222" s="45" t="s">
        <v>147</v>
      </c>
      <c r="G222" s="45"/>
      <c r="H222" s="45"/>
      <c r="I222" s="33">
        <f t="shared" si="46"/>
        <v>17275.63608040354</v>
      </c>
      <c r="J222" s="33">
        <f t="shared" si="46"/>
        <v>8292.297097613606</v>
      </c>
      <c r="K222" s="33">
        <f t="shared" si="46"/>
        <v>9033.66964981775</v>
      </c>
      <c r="L222" s="33">
        <f t="shared" si="46"/>
        <v>5921.7774871376005</v>
      </c>
      <c r="M222" s="33">
        <f t="shared" si="37"/>
        <v>2130.6610981680956</v>
      </c>
      <c r="N222" s="33">
        <f t="shared" si="38"/>
        <v>752.8058041514792</v>
      </c>
      <c r="O222" s="33">
        <f t="shared" si="39"/>
        <v>43406.847217292074</v>
      </c>
      <c r="P222" s="33">
        <f t="shared" si="40"/>
        <v>3689.582013469826</v>
      </c>
      <c r="Q222" s="33">
        <f t="shared" si="41"/>
        <v>10504.457026584681</v>
      </c>
      <c r="R222" s="33"/>
      <c r="S222" s="33">
        <f t="shared" si="42"/>
        <v>1906.803238358593</v>
      </c>
      <c r="T222" s="34">
        <f t="shared" si="43"/>
        <v>59507.689495705185</v>
      </c>
      <c r="V222" s="7"/>
    </row>
    <row r="223" spans="1:22" s="5" customFormat="1" ht="12.75" hidden="1">
      <c r="A223" s="30" t="s">
        <v>8</v>
      </c>
      <c r="B223" s="31" t="s">
        <v>123</v>
      </c>
      <c r="C223" s="31">
        <v>7</v>
      </c>
      <c r="D223" s="31" t="s">
        <v>34</v>
      </c>
      <c r="E223" s="32" t="s">
        <v>148</v>
      </c>
      <c r="F223" s="45" t="s">
        <v>149</v>
      </c>
      <c r="G223" s="45"/>
      <c r="H223" s="45"/>
      <c r="I223" s="33">
        <f aca="true" t="shared" si="47" ref="I223:L230">I146*1.0428</f>
        <v>17275.63608040354</v>
      </c>
      <c r="J223" s="33">
        <f t="shared" si="47"/>
        <v>9826.3776555058</v>
      </c>
      <c r="K223" s="33">
        <f t="shared" si="47"/>
        <v>9033.66964981775</v>
      </c>
      <c r="L223" s="33">
        <f t="shared" si="47"/>
        <v>5921.7774871376005</v>
      </c>
      <c r="M223" s="33">
        <f aca="true" t="shared" si="48" ref="M223:M230">(I223+J223)/12</f>
        <v>2258.5011446591116</v>
      </c>
      <c r="N223" s="33">
        <f aca="true" t="shared" si="49" ref="N223:N230">K223/12</f>
        <v>752.8058041514792</v>
      </c>
      <c r="O223" s="33">
        <f aca="true" t="shared" si="50" ref="O223:O230">SUM(I223:N223)</f>
        <v>45068.76782167528</v>
      </c>
      <c r="P223" s="33">
        <f aca="true" t="shared" si="51" ref="P223:P230">O223*8.5/100</f>
        <v>3830.845264842399</v>
      </c>
      <c r="Q223" s="33">
        <f aca="true" t="shared" si="52" ref="Q223:Q230">O223*24.2/100</f>
        <v>10906.641812845417</v>
      </c>
      <c r="R223" s="33"/>
      <c r="S223" s="33">
        <f aca="true" t="shared" si="53" ref="S223:S230">(I223+J223+M223)*80%*7.1%+(K223+N223)*80%*60%*7.1%</f>
        <v>2001.2003286875592</v>
      </c>
      <c r="T223" s="34">
        <f aca="true" t="shared" si="54" ref="T223:T230">O223+P223+Q223+R223+S223</f>
        <v>61807.45522805066</v>
      </c>
      <c r="V223" s="7"/>
    </row>
    <row r="224" spans="1:22" s="5" customFormat="1" ht="12.75" hidden="1">
      <c r="A224" s="30" t="s">
        <v>8</v>
      </c>
      <c r="B224" s="31" t="s">
        <v>123</v>
      </c>
      <c r="C224" s="31">
        <v>8</v>
      </c>
      <c r="D224" s="31" t="s">
        <v>34</v>
      </c>
      <c r="E224" s="32" t="s">
        <v>150</v>
      </c>
      <c r="F224" s="45" t="s">
        <v>151</v>
      </c>
      <c r="G224" s="45"/>
      <c r="H224" s="45"/>
      <c r="I224" s="33">
        <f t="shared" si="47"/>
        <v>17275.63608040354</v>
      </c>
      <c r="J224" s="33">
        <f t="shared" si="47"/>
        <v>11360.458213397987</v>
      </c>
      <c r="K224" s="33">
        <f t="shared" si="47"/>
        <v>9033.66964981775</v>
      </c>
      <c r="L224" s="33">
        <f t="shared" si="47"/>
        <v>5921.7774871376005</v>
      </c>
      <c r="M224" s="33">
        <f t="shared" si="48"/>
        <v>2386.3411911501275</v>
      </c>
      <c r="N224" s="33">
        <f t="shared" si="49"/>
        <v>752.8058041514792</v>
      </c>
      <c r="O224" s="33">
        <f t="shared" si="50"/>
        <v>46730.688426058485</v>
      </c>
      <c r="P224" s="33">
        <f t="shared" si="51"/>
        <v>3972.108516214971</v>
      </c>
      <c r="Q224" s="33">
        <f t="shared" si="52"/>
        <v>11308.826599106153</v>
      </c>
      <c r="R224" s="33"/>
      <c r="S224" s="33">
        <f t="shared" si="53"/>
        <v>2095.5974190165252</v>
      </c>
      <c r="T224" s="34">
        <f t="shared" si="54"/>
        <v>64107.22096039614</v>
      </c>
      <c r="V224" s="7"/>
    </row>
    <row r="225" spans="1:22" s="5" customFormat="1" ht="12.75" hidden="1">
      <c r="A225" s="30" t="s">
        <v>8</v>
      </c>
      <c r="B225" s="31" t="s">
        <v>123</v>
      </c>
      <c r="C225" s="31">
        <v>9</v>
      </c>
      <c r="D225" s="31" t="s">
        <v>34</v>
      </c>
      <c r="E225" s="32" t="s">
        <v>152</v>
      </c>
      <c r="F225" s="45" t="s">
        <v>153</v>
      </c>
      <c r="G225" s="45"/>
      <c r="H225" s="45"/>
      <c r="I225" s="33">
        <f t="shared" si="47"/>
        <v>17275.63608040354</v>
      </c>
      <c r="J225" s="33">
        <f t="shared" si="47"/>
        <v>12894.527353262274</v>
      </c>
      <c r="K225" s="33">
        <f t="shared" si="47"/>
        <v>9033.66964981775</v>
      </c>
      <c r="L225" s="33">
        <f t="shared" si="47"/>
        <v>5921.7774871376005</v>
      </c>
      <c r="M225" s="33">
        <f t="shared" si="48"/>
        <v>2514.180286138818</v>
      </c>
      <c r="N225" s="33">
        <f t="shared" si="49"/>
        <v>752.8058041514792</v>
      </c>
      <c r="O225" s="33">
        <f t="shared" si="50"/>
        <v>48392.59666091147</v>
      </c>
      <c r="P225" s="33">
        <f t="shared" si="51"/>
        <v>4113.370716177475</v>
      </c>
      <c r="Q225" s="33">
        <f t="shared" si="52"/>
        <v>11711.008391940575</v>
      </c>
      <c r="R225" s="33"/>
      <c r="S225" s="33">
        <f t="shared" si="53"/>
        <v>2189.9938067561743</v>
      </c>
      <c r="T225" s="34">
        <f t="shared" si="54"/>
        <v>66406.96957578568</v>
      </c>
      <c r="V225" s="7"/>
    </row>
    <row r="226" spans="1:22" s="5" customFormat="1" ht="12.75" hidden="1">
      <c r="A226" s="30" t="s">
        <v>8</v>
      </c>
      <c r="B226" s="31" t="s">
        <v>123</v>
      </c>
      <c r="C226" s="31">
        <v>10</v>
      </c>
      <c r="D226" s="31" t="s">
        <v>34</v>
      </c>
      <c r="E226" s="32" t="s">
        <v>154</v>
      </c>
      <c r="F226" s="45" t="s">
        <v>155</v>
      </c>
      <c r="G226" s="45"/>
      <c r="H226" s="45"/>
      <c r="I226" s="33">
        <f t="shared" si="47"/>
        <v>17275.63608040354</v>
      </c>
      <c r="J226" s="33">
        <f t="shared" si="47"/>
        <v>14428.607911154466</v>
      </c>
      <c r="K226" s="33">
        <f t="shared" si="47"/>
        <v>9033.66964981775</v>
      </c>
      <c r="L226" s="33">
        <f t="shared" si="47"/>
        <v>5921.7774871376005</v>
      </c>
      <c r="M226" s="33">
        <f t="shared" si="48"/>
        <v>2642.020332629834</v>
      </c>
      <c r="N226" s="33">
        <f t="shared" si="49"/>
        <v>752.8058041514792</v>
      </c>
      <c r="O226" s="33">
        <f t="shared" si="50"/>
        <v>50054.51726529467</v>
      </c>
      <c r="P226" s="33">
        <f t="shared" si="51"/>
        <v>4254.633967550047</v>
      </c>
      <c r="Q226" s="33">
        <f t="shared" si="52"/>
        <v>12113.19317820131</v>
      </c>
      <c r="R226" s="33"/>
      <c r="S226" s="33">
        <f t="shared" si="53"/>
        <v>2284.3908970851403</v>
      </c>
      <c r="T226" s="34">
        <f t="shared" si="54"/>
        <v>68706.73530813116</v>
      </c>
      <c r="V226" s="7"/>
    </row>
    <row r="227" spans="1:22" s="5" customFormat="1" ht="12.75" hidden="1">
      <c r="A227" s="30" t="s">
        <v>8</v>
      </c>
      <c r="B227" s="31" t="s">
        <v>123</v>
      </c>
      <c r="C227" s="31">
        <v>11</v>
      </c>
      <c r="D227" s="31" t="s">
        <v>34</v>
      </c>
      <c r="E227" s="32" t="s">
        <v>156</v>
      </c>
      <c r="F227" s="45" t="s">
        <v>157</v>
      </c>
      <c r="G227" s="45"/>
      <c r="H227" s="45"/>
      <c r="I227" s="33">
        <f t="shared" si="47"/>
        <v>17275.63608040354</v>
      </c>
      <c r="J227" s="33">
        <f t="shared" si="47"/>
        <v>15962.688469046658</v>
      </c>
      <c r="K227" s="33">
        <f t="shared" si="47"/>
        <v>9033.66964981775</v>
      </c>
      <c r="L227" s="33">
        <f t="shared" si="47"/>
        <v>5921.7774871376005</v>
      </c>
      <c r="M227" s="33">
        <f t="shared" si="48"/>
        <v>2769.8603791208498</v>
      </c>
      <c r="N227" s="33">
        <f t="shared" si="49"/>
        <v>752.8058041514792</v>
      </c>
      <c r="O227" s="33">
        <f t="shared" si="50"/>
        <v>51716.43786967788</v>
      </c>
      <c r="P227" s="33">
        <f t="shared" si="51"/>
        <v>4395.89721892262</v>
      </c>
      <c r="Q227" s="33">
        <f t="shared" si="52"/>
        <v>12515.377964462046</v>
      </c>
      <c r="R227" s="33"/>
      <c r="S227" s="33">
        <f t="shared" si="53"/>
        <v>2378.7879874141067</v>
      </c>
      <c r="T227" s="34">
        <f t="shared" si="54"/>
        <v>71006.50104047665</v>
      </c>
      <c r="V227" s="7"/>
    </row>
    <row r="228" spans="1:22" s="5" customFormat="1" ht="12.75" hidden="1">
      <c r="A228" s="30" t="s">
        <v>8</v>
      </c>
      <c r="B228" s="31" t="s">
        <v>123</v>
      </c>
      <c r="C228" s="31">
        <v>12</v>
      </c>
      <c r="D228" s="31" t="s">
        <v>34</v>
      </c>
      <c r="E228" s="32" t="s">
        <v>158</v>
      </c>
      <c r="F228" s="45" t="s">
        <v>159</v>
      </c>
      <c r="G228" s="45"/>
      <c r="H228" s="45"/>
      <c r="I228" s="33">
        <f t="shared" si="47"/>
        <v>17275.63608040354</v>
      </c>
      <c r="J228" s="33">
        <f t="shared" si="47"/>
        <v>17496.75760891094</v>
      </c>
      <c r="K228" s="33">
        <f t="shared" si="47"/>
        <v>9033.66964981775</v>
      </c>
      <c r="L228" s="33">
        <f t="shared" si="47"/>
        <v>5921.7774871376005</v>
      </c>
      <c r="M228" s="33">
        <f t="shared" si="48"/>
        <v>2897.69947410954</v>
      </c>
      <c r="N228" s="33">
        <f t="shared" si="49"/>
        <v>752.8058041514792</v>
      </c>
      <c r="O228" s="33">
        <f t="shared" si="50"/>
        <v>53378.34610453085</v>
      </c>
      <c r="P228" s="33">
        <f t="shared" si="51"/>
        <v>4537.159418885122</v>
      </c>
      <c r="Q228" s="33">
        <f t="shared" si="52"/>
        <v>12917.559757296467</v>
      </c>
      <c r="R228" s="33"/>
      <c r="S228" s="33">
        <f t="shared" si="53"/>
        <v>2473.1843751537554</v>
      </c>
      <c r="T228" s="34">
        <f t="shared" si="54"/>
        <v>73306.2496558662</v>
      </c>
      <c r="V228" s="7"/>
    </row>
    <row r="229" spans="1:22" s="5" customFormat="1" ht="12.75" hidden="1">
      <c r="A229" s="30" t="s">
        <v>8</v>
      </c>
      <c r="B229" s="31" t="s">
        <v>123</v>
      </c>
      <c r="C229" s="31">
        <v>13</v>
      </c>
      <c r="D229" s="31" t="s">
        <v>34</v>
      </c>
      <c r="E229" s="32" t="s">
        <v>160</v>
      </c>
      <c r="F229" s="45" t="s">
        <v>161</v>
      </c>
      <c r="G229" s="45"/>
      <c r="H229" s="45"/>
      <c r="I229" s="33">
        <f t="shared" si="47"/>
        <v>17275.63608040354</v>
      </c>
      <c r="J229" s="33">
        <f t="shared" si="47"/>
        <v>19030.83816680313</v>
      </c>
      <c r="K229" s="33">
        <f t="shared" si="47"/>
        <v>9033.66964981775</v>
      </c>
      <c r="L229" s="33">
        <f t="shared" si="47"/>
        <v>5921.7774871376005</v>
      </c>
      <c r="M229" s="33">
        <f t="shared" si="48"/>
        <v>3025.539520600556</v>
      </c>
      <c r="N229" s="33">
        <f t="shared" si="49"/>
        <v>752.8058041514792</v>
      </c>
      <c r="O229" s="33">
        <f t="shared" si="50"/>
        <v>55040.26670891406</v>
      </c>
      <c r="P229" s="33">
        <f t="shared" si="51"/>
        <v>4678.422670257695</v>
      </c>
      <c r="Q229" s="33">
        <f t="shared" si="52"/>
        <v>13319.744543557203</v>
      </c>
      <c r="R229" s="33"/>
      <c r="S229" s="33">
        <f t="shared" si="53"/>
        <v>2567.5814654827213</v>
      </c>
      <c r="T229" s="34">
        <f t="shared" si="54"/>
        <v>75606.01538821169</v>
      </c>
      <c r="V229" s="7"/>
    </row>
    <row r="230" spans="1:22" s="5" customFormat="1" ht="13.5" hidden="1" thickBot="1">
      <c r="A230" s="35" t="s">
        <v>8</v>
      </c>
      <c r="B230" s="36" t="s">
        <v>123</v>
      </c>
      <c r="C230" s="36">
        <v>14</v>
      </c>
      <c r="D230" s="36" t="s">
        <v>34</v>
      </c>
      <c r="E230" s="37" t="s">
        <v>162</v>
      </c>
      <c r="F230" s="46" t="s">
        <v>163</v>
      </c>
      <c r="G230" s="46"/>
      <c r="H230" s="46"/>
      <c r="I230" s="38">
        <f t="shared" si="47"/>
        <v>17275.63608040354</v>
      </c>
      <c r="J230" s="38">
        <f t="shared" si="47"/>
        <v>20564.918724695326</v>
      </c>
      <c r="K230" s="38">
        <f t="shared" si="47"/>
        <v>9033.66964981775</v>
      </c>
      <c r="L230" s="38">
        <f t="shared" si="47"/>
        <v>5921.7774871376005</v>
      </c>
      <c r="M230" s="38">
        <f t="shared" si="48"/>
        <v>3153.379567091572</v>
      </c>
      <c r="N230" s="38">
        <f t="shared" si="49"/>
        <v>752.8058041514792</v>
      </c>
      <c r="O230" s="38">
        <f t="shared" si="50"/>
        <v>56702.18731329727</v>
      </c>
      <c r="P230" s="38">
        <f t="shared" si="51"/>
        <v>4819.685921630268</v>
      </c>
      <c r="Q230" s="38">
        <f t="shared" si="52"/>
        <v>13721.929329817938</v>
      </c>
      <c r="R230" s="38"/>
      <c r="S230" s="38">
        <f t="shared" si="53"/>
        <v>2661.9785558116882</v>
      </c>
      <c r="T230" s="39">
        <f t="shared" si="54"/>
        <v>77905.78112055716</v>
      </c>
      <c r="V230" s="7"/>
    </row>
    <row r="231" spans="1:22" s="5" customFormat="1" ht="12.75" hidden="1">
      <c r="A231" s="1"/>
      <c r="B231" s="1"/>
      <c r="C231" s="1"/>
      <c r="D231" s="1"/>
      <c r="T231" s="6"/>
      <c r="V231" s="7"/>
    </row>
    <row r="232" spans="1:22" s="5" customFormat="1" ht="12.75" hidden="1">
      <c r="A232" s="1"/>
      <c r="B232" s="1"/>
      <c r="C232" s="1"/>
      <c r="D232" s="1"/>
      <c r="T232" s="6"/>
      <c r="V232" s="7"/>
    </row>
    <row r="233" spans="1:22" s="5" customFormat="1" ht="12.75" hidden="1">
      <c r="A233" s="1"/>
      <c r="B233" s="2" t="s">
        <v>168</v>
      </c>
      <c r="C233" s="3"/>
      <c r="D233" s="4"/>
      <c r="T233" s="6"/>
      <c r="V233" s="7"/>
    </row>
    <row r="234" spans="1:22" s="5" customFormat="1" ht="12.75" hidden="1">
      <c r="A234" s="1"/>
      <c r="B234" s="1"/>
      <c r="C234" s="1"/>
      <c r="D234" s="4"/>
      <c r="T234" s="6"/>
      <c r="V234" s="7"/>
    </row>
    <row r="235" spans="1:22" s="5" customFormat="1" ht="13.5" hidden="1" thickTop="1">
      <c r="A235" s="21" t="s">
        <v>167</v>
      </c>
      <c r="B235" s="22" t="s">
        <v>13</v>
      </c>
      <c r="C235" s="22" t="s">
        <v>14</v>
      </c>
      <c r="D235" s="22" t="s">
        <v>15</v>
      </c>
      <c r="E235" s="23" t="s">
        <v>16</v>
      </c>
      <c r="F235" s="23" t="s">
        <v>17</v>
      </c>
      <c r="G235" s="23"/>
      <c r="H235" s="23"/>
      <c r="I235" s="23" t="s">
        <v>18</v>
      </c>
      <c r="J235" s="23" t="s">
        <v>19</v>
      </c>
      <c r="K235" s="23" t="s">
        <v>20</v>
      </c>
      <c r="L235" s="23" t="s">
        <v>21</v>
      </c>
      <c r="M235" s="23" t="s">
        <v>22</v>
      </c>
      <c r="N235" s="23" t="s">
        <v>23</v>
      </c>
      <c r="O235" s="23" t="s">
        <v>24</v>
      </c>
      <c r="P235" s="23" t="s">
        <v>25</v>
      </c>
      <c r="Q235" s="23" t="s">
        <v>26</v>
      </c>
      <c r="R235" s="23" t="s">
        <v>27</v>
      </c>
      <c r="S235" s="23" t="s">
        <v>28</v>
      </c>
      <c r="T235" s="24" t="s">
        <v>29</v>
      </c>
      <c r="V235" s="7"/>
    </row>
    <row r="236" spans="1:22" s="5" customFormat="1" ht="13.5" hidden="1" thickTop="1">
      <c r="A236" s="25" t="s">
        <v>10</v>
      </c>
      <c r="B236" s="26" t="s">
        <v>30</v>
      </c>
      <c r="C236" s="26">
        <v>0</v>
      </c>
      <c r="D236" s="26" t="s">
        <v>31</v>
      </c>
      <c r="E236" s="27" t="s">
        <v>32</v>
      </c>
      <c r="F236" s="27" t="s">
        <v>33</v>
      </c>
      <c r="G236" s="27"/>
      <c r="H236" s="27"/>
      <c r="I236" s="28">
        <f>I159*1.0177</f>
        <v>23178.71381564604</v>
      </c>
      <c r="J236" s="28">
        <f>J159*1.0177</f>
        <v>0</v>
      </c>
      <c r="K236" s="28">
        <f>K159*1.0177</f>
        <v>9647.424523146834</v>
      </c>
      <c r="L236" s="28">
        <f>L159*1.0177</f>
        <v>0</v>
      </c>
      <c r="M236" s="28">
        <f aca="true" t="shared" si="55" ref="M236:M299">(I236+J236)/12</f>
        <v>1931.5594846371698</v>
      </c>
      <c r="N236" s="28">
        <f aca="true" t="shared" si="56" ref="N236:N299">K236/12</f>
        <v>803.9520435955695</v>
      </c>
      <c r="O236" s="28">
        <f aca="true" t="shared" si="57" ref="O236:O299">SUM(I236:N236)</f>
        <v>35561.64986702561</v>
      </c>
      <c r="P236" s="28">
        <f aca="true" t="shared" si="58" ref="P236:P299">O236*8.5/100</f>
        <v>3022.740238697177</v>
      </c>
      <c r="Q236" s="28">
        <f aca="true" t="shared" si="59" ref="Q236:Q299">O236*24.2/100</f>
        <v>8605.919267820198</v>
      </c>
      <c r="R236" s="28">
        <f>(I236+J236)*18%*24.2%</f>
        <v>1009.6647738095413</v>
      </c>
      <c r="S236" s="28">
        <f aca="true" t="shared" si="60" ref="S236:S299">(I236+J236+M236)*80%*7.1%+(K236+N236)*80%*60%*7.1%</f>
        <v>1782.4464368506672</v>
      </c>
      <c r="T236" s="29">
        <f aca="true" t="shared" si="61" ref="T236:T259">O236+P236+Q236+R236+S236</f>
        <v>49982.420584203195</v>
      </c>
      <c r="V236" s="7"/>
    </row>
    <row r="237" spans="1:22" s="5" customFormat="1" ht="12.75" hidden="1">
      <c r="A237" s="30" t="s">
        <v>10</v>
      </c>
      <c r="B237" s="31" t="s">
        <v>30</v>
      </c>
      <c r="C237" s="31">
        <v>0</v>
      </c>
      <c r="D237" s="31" t="s">
        <v>34</v>
      </c>
      <c r="E237" s="32" t="s">
        <v>35</v>
      </c>
      <c r="F237" s="45" t="s">
        <v>36</v>
      </c>
      <c r="G237" s="45"/>
      <c r="H237" s="45"/>
      <c r="I237" s="33">
        <f aca="true" t="shared" si="62" ref="I237:L252">I160*1.0177</f>
        <v>31981.331865338616</v>
      </c>
      <c r="J237" s="33">
        <f t="shared" si="62"/>
        <v>0</v>
      </c>
      <c r="K237" s="33">
        <f t="shared" si="62"/>
        <v>10253.13526336411</v>
      </c>
      <c r="L237" s="33">
        <f t="shared" si="62"/>
        <v>7379.50109549678</v>
      </c>
      <c r="M237" s="33">
        <f t="shared" si="55"/>
        <v>2665.110988778218</v>
      </c>
      <c r="N237" s="33">
        <f t="shared" si="56"/>
        <v>854.4279386136759</v>
      </c>
      <c r="O237" s="33">
        <f t="shared" si="57"/>
        <v>53133.5071515914</v>
      </c>
      <c r="P237" s="33">
        <f t="shared" si="58"/>
        <v>4516.348107885269</v>
      </c>
      <c r="Q237" s="33">
        <f t="shared" si="59"/>
        <v>12858.30873068512</v>
      </c>
      <c r="R237" s="33"/>
      <c r="S237" s="33">
        <f t="shared" si="60"/>
        <v>2346.4637080372386</v>
      </c>
      <c r="T237" s="34">
        <f t="shared" si="61"/>
        <v>72854.62769819902</v>
      </c>
      <c r="V237" s="7"/>
    </row>
    <row r="238" spans="1:22" s="5" customFormat="1" ht="12.75" hidden="1">
      <c r="A238" s="30" t="s">
        <v>10</v>
      </c>
      <c r="B238" s="31" t="s">
        <v>37</v>
      </c>
      <c r="C238" s="31">
        <v>0</v>
      </c>
      <c r="D238" s="31" t="s">
        <v>31</v>
      </c>
      <c r="E238" s="32" t="s">
        <v>38</v>
      </c>
      <c r="F238" s="45"/>
      <c r="G238" s="45"/>
      <c r="H238" s="45"/>
      <c r="I238" s="33">
        <f t="shared" si="62"/>
        <v>25092.327950813167</v>
      </c>
      <c r="J238" s="33">
        <f t="shared" si="62"/>
        <v>0</v>
      </c>
      <c r="K238" s="33">
        <f t="shared" si="62"/>
        <v>9779.092182230626</v>
      </c>
      <c r="L238" s="33">
        <f t="shared" si="62"/>
        <v>0</v>
      </c>
      <c r="M238" s="33">
        <f t="shared" si="55"/>
        <v>2091.0273292344305</v>
      </c>
      <c r="N238" s="33">
        <f t="shared" si="56"/>
        <v>814.9243485192188</v>
      </c>
      <c r="O238" s="33">
        <f t="shared" si="57"/>
        <v>37777.37181079744</v>
      </c>
      <c r="P238" s="33">
        <f t="shared" si="58"/>
        <v>3211.076603917783</v>
      </c>
      <c r="Q238" s="33">
        <f t="shared" si="59"/>
        <v>9142.123978212981</v>
      </c>
      <c r="R238" s="33">
        <f>(I238+J238)*18%*24.2%</f>
        <v>1093.0218055374214</v>
      </c>
      <c r="S238" s="33">
        <f t="shared" si="60"/>
        <v>1905.0586632746583</v>
      </c>
      <c r="T238" s="34">
        <f t="shared" si="61"/>
        <v>53128.65286174029</v>
      </c>
      <c r="V238" s="7"/>
    </row>
    <row r="239" spans="1:22" s="5" customFormat="1" ht="12.75" hidden="1">
      <c r="A239" s="30" t="s">
        <v>10</v>
      </c>
      <c r="B239" s="31" t="s">
        <v>37</v>
      </c>
      <c r="C239" s="31">
        <v>0</v>
      </c>
      <c r="D239" s="31" t="s">
        <v>34</v>
      </c>
      <c r="E239" s="32" t="s">
        <v>39</v>
      </c>
      <c r="F239" s="45"/>
      <c r="G239" s="45"/>
      <c r="H239" s="45"/>
      <c r="I239" s="33">
        <f t="shared" si="62"/>
        <v>34660.37538639479</v>
      </c>
      <c r="J239" s="33">
        <f t="shared" si="62"/>
        <v>0</v>
      </c>
      <c r="K239" s="33">
        <f t="shared" si="62"/>
        <v>10437.476958157626</v>
      </c>
      <c r="L239" s="33">
        <f t="shared" si="62"/>
        <v>7379.50109549678</v>
      </c>
      <c r="M239" s="33">
        <f t="shared" si="55"/>
        <v>2888.3646155328993</v>
      </c>
      <c r="N239" s="33">
        <f t="shared" si="56"/>
        <v>869.7897465131355</v>
      </c>
      <c r="O239" s="33">
        <f t="shared" si="57"/>
        <v>56235.507802095235</v>
      </c>
      <c r="P239" s="33">
        <f t="shared" si="58"/>
        <v>4780.018163178095</v>
      </c>
      <c r="Q239" s="33">
        <f t="shared" si="59"/>
        <v>13608.992888107046</v>
      </c>
      <c r="R239" s="33"/>
      <c r="S239" s="33">
        <f t="shared" si="60"/>
        <v>2518.120081404672</v>
      </c>
      <c r="T239" s="34">
        <f t="shared" si="61"/>
        <v>77142.63893478505</v>
      </c>
      <c r="V239" s="7"/>
    </row>
    <row r="240" spans="1:22" s="5" customFormat="1" ht="12.75" hidden="1">
      <c r="A240" s="30" t="s">
        <v>10</v>
      </c>
      <c r="B240" s="31" t="s">
        <v>37</v>
      </c>
      <c r="C240" s="31">
        <v>1</v>
      </c>
      <c r="D240" s="31" t="s">
        <v>31</v>
      </c>
      <c r="E240" s="32" t="s">
        <v>40</v>
      </c>
      <c r="F240" s="45"/>
      <c r="G240" s="45"/>
      <c r="H240" s="45"/>
      <c r="I240" s="33">
        <f t="shared" si="62"/>
        <v>25092.327950813167</v>
      </c>
      <c r="J240" s="33">
        <f t="shared" si="62"/>
        <v>2007.3885600904543</v>
      </c>
      <c r="K240" s="33">
        <f t="shared" si="62"/>
        <v>9779.092182230626</v>
      </c>
      <c r="L240" s="33">
        <f t="shared" si="62"/>
        <v>0</v>
      </c>
      <c r="M240" s="33">
        <f t="shared" si="55"/>
        <v>2258.3097092419684</v>
      </c>
      <c r="N240" s="33">
        <f t="shared" si="56"/>
        <v>814.9243485192188</v>
      </c>
      <c r="O240" s="33">
        <f t="shared" si="57"/>
        <v>39952.04275089544</v>
      </c>
      <c r="P240" s="33">
        <f t="shared" si="58"/>
        <v>3395.9236338261126</v>
      </c>
      <c r="Q240" s="33">
        <f t="shared" si="59"/>
        <v>9668.394345716695</v>
      </c>
      <c r="R240" s="33">
        <f>(I240+J240)*18%*24.2%</f>
        <v>1180.4636512149616</v>
      </c>
      <c r="S240" s="33">
        <f t="shared" si="60"/>
        <v>2028.5799726722244</v>
      </c>
      <c r="T240" s="34">
        <f t="shared" si="61"/>
        <v>56225.40435432543</v>
      </c>
      <c r="V240" s="7"/>
    </row>
    <row r="241" spans="1:22" s="5" customFormat="1" ht="12.75" hidden="1">
      <c r="A241" s="30" t="s">
        <v>10</v>
      </c>
      <c r="B241" s="31" t="s">
        <v>37</v>
      </c>
      <c r="C241" s="31">
        <v>1</v>
      </c>
      <c r="D241" s="31" t="s">
        <v>34</v>
      </c>
      <c r="E241" s="32" t="s">
        <v>41</v>
      </c>
      <c r="F241" s="45"/>
      <c r="G241" s="45"/>
      <c r="H241" s="45"/>
      <c r="I241" s="33">
        <f t="shared" si="62"/>
        <v>34660.37538639479</v>
      </c>
      <c r="J241" s="33">
        <f t="shared" si="62"/>
        <v>2772.829566106503</v>
      </c>
      <c r="K241" s="33">
        <f t="shared" si="62"/>
        <v>10437.476958157626</v>
      </c>
      <c r="L241" s="33">
        <f t="shared" si="62"/>
        <v>8609.410197994906</v>
      </c>
      <c r="M241" s="33">
        <f t="shared" si="55"/>
        <v>3119.433746041775</v>
      </c>
      <c r="N241" s="33">
        <f t="shared" si="56"/>
        <v>869.7897465131355</v>
      </c>
      <c r="O241" s="33">
        <f t="shared" si="57"/>
        <v>60469.31560120874</v>
      </c>
      <c r="P241" s="33">
        <f t="shared" si="58"/>
        <v>5139.891826102743</v>
      </c>
      <c r="Q241" s="33">
        <f t="shared" si="59"/>
        <v>14633.574375492515</v>
      </c>
      <c r="R241" s="33"/>
      <c r="S241" s="33">
        <f t="shared" si="60"/>
        <v>2688.741527372426</v>
      </c>
      <c r="T241" s="34">
        <f t="shared" si="61"/>
        <v>82931.52333017644</v>
      </c>
      <c r="V241" s="7"/>
    </row>
    <row r="242" spans="1:22" s="5" customFormat="1" ht="12.75" hidden="1">
      <c r="A242" s="30" t="s">
        <v>10</v>
      </c>
      <c r="B242" s="31" t="s">
        <v>37</v>
      </c>
      <c r="C242" s="31">
        <v>2</v>
      </c>
      <c r="D242" s="31" t="s">
        <v>31</v>
      </c>
      <c r="E242" s="32" t="s">
        <v>42</v>
      </c>
      <c r="F242" s="45"/>
      <c r="G242" s="45"/>
      <c r="H242" s="45"/>
      <c r="I242" s="33">
        <f t="shared" si="62"/>
        <v>25092.327950813167</v>
      </c>
      <c r="J242" s="33">
        <f t="shared" si="62"/>
        <v>4014.7771201809087</v>
      </c>
      <c r="K242" s="33">
        <f t="shared" si="62"/>
        <v>9779.092182230626</v>
      </c>
      <c r="L242" s="33">
        <f t="shared" si="62"/>
        <v>0</v>
      </c>
      <c r="M242" s="33">
        <f t="shared" si="55"/>
        <v>2425.5920892495064</v>
      </c>
      <c r="N242" s="33">
        <f t="shared" si="56"/>
        <v>814.9243485192188</v>
      </c>
      <c r="O242" s="33">
        <f t="shared" si="57"/>
        <v>42126.71369099343</v>
      </c>
      <c r="P242" s="33">
        <f t="shared" si="58"/>
        <v>3580.770663734441</v>
      </c>
      <c r="Q242" s="33">
        <f t="shared" si="59"/>
        <v>10194.664713220409</v>
      </c>
      <c r="R242" s="33">
        <f>(I242+J242)*18%*24.2%</f>
        <v>1267.905496892502</v>
      </c>
      <c r="S242" s="33">
        <f t="shared" si="60"/>
        <v>2152.10128206979</v>
      </c>
      <c r="T242" s="34">
        <f t="shared" si="61"/>
        <v>59322.155846910566</v>
      </c>
      <c r="V242" s="7"/>
    </row>
    <row r="243" spans="1:22" s="5" customFormat="1" ht="12.75" hidden="1">
      <c r="A243" s="30" t="s">
        <v>10</v>
      </c>
      <c r="B243" s="31" t="s">
        <v>37</v>
      </c>
      <c r="C243" s="31">
        <v>2</v>
      </c>
      <c r="D243" s="31" t="s">
        <v>34</v>
      </c>
      <c r="E243" s="32" t="s">
        <v>43</v>
      </c>
      <c r="F243" s="45" t="s">
        <v>44</v>
      </c>
      <c r="G243" s="45"/>
      <c r="H243" s="45"/>
      <c r="I243" s="33">
        <f t="shared" si="62"/>
        <v>34660.37538639479</v>
      </c>
      <c r="J243" s="33">
        <f t="shared" si="62"/>
        <v>5545.659132213006</v>
      </c>
      <c r="K243" s="33">
        <f t="shared" si="62"/>
        <v>10437.476958157626</v>
      </c>
      <c r="L243" s="33">
        <f t="shared" si="62"/>
        <v>8609.410197994906</v>
      </c>
      <c r="M243" s="33">
        <f t="shared" si="55"/>
        <v>3350.50287655065</v>
      </c>
      <c r="N243" s="33">
        <f t="shared" si="56"/>
        <v>869.7897465131355</v>
      </c>
      <c r="O243" s="33">
        <f t="shared" si="57"/>
        <v>63473.21429782412</v>
      </c>
      <c r="P243" s="33">
        <f t="shared" si="58"/>
        <v>5395.22321531505</v>
      </c>
      <c r="Q243" s="33">
        <f t="shared" si="59"/>
        <v>15360.517860073436</v>
      </c>
      <c r="R243" s="33"/>
      <c r="S243" s="33">
        <f t="shared" si="60"/>
        <v>2859.362973340179</v>
      </c>
      <c r="T243" s="34">
        <f t="shared" si="61"/>
        <v>87088.31834655278</v>
      </c>
      <c r="V243" s="7"/>
    </row>
    <row r="244" spans="1:22" s="5" customFormat="1" ht="12.75" hidden="1">
      <c r="A244" s="30" t="s">
        <v>10</v>
      </c>
      <c r="B244" s="31" t="s">
        <v>37</v>
      </c>
      <c r="C244" s="31">
        <v>3</v>
      </c>
      <c r="D244" s="31" t="s">
        <v>31</v>
      </c>
      <c r="E244" s="32" t="s">
        <v>45</v>
      </c>
      <c r="F244" s="45"/>
      <c r="G244" s="45"/>
      <c r="H244" s="45"/>
      <c r="I244" s="33">
        <f t="shared" si="62"/>
        <v>25092.327950813167</v>
      </c>
      <c r="J244" s="33">
        <f t="shared" si="62"/>
        <v>6022.165680271362</v>
      </c>
      <c r="K244" s="33">
        <f t="shared" si="62"/>
        <v>9779.092182230626</v>
      </c>
      <c r="L244" s="33">
        <f t="shared" si="62"/>
        <v>0</v>
      </c>
      <c r="M244" s="33">
        <f t="shared" si="55"/>
        <v>2592.874469257044</v>
      </c>
      <c r="N244" s="33">
        <f t="shared" si="56"/>
        <v>814.9243485192188</v>
      </c>
      <c r="O244" s="33">
        <f t="shared" si="57"/>
        <v>44301.38463109142</v>
      </c>
      <c r="P244" s="33">
        <f t="shared" si="58"/>
        <v>3765.617693642771</v>
      </c>
      <c r="Q244" s="33">
        <f t="shared" si="59"/>
        <v>10720.935080724123</v>
      </c>
      <c r="R244" s="33">
        <f>(I244+J244)*18%*24.2%</f>
        <v>1355.347342570042</v>
      </c>
      <c r="S244" s="33">
        <f t="shared" si="60"/>
        <v>2275.622591467356</v>
      </c>
      <c r="T244" s="34">
        <f t="shared" si="61"/>
        <v>62418.907339495716</v>
      </c>
      <c r="V244" s="7"/>
    </row>
    <row r="245" spans="1:22" s="5" customFormat="1" ht="12.75" hidden="1">
      <c r="A245" s="30" t="s">
        <v>10</v>
      </c>
      <c r="B245" s="31" t="s">
        <v>37</v>
      </c>
      <c r="C245" s="31">
        <v>3</v>
      </c>
      <c r="D245" s="31" t="s">
        <v>34</v>
      </c>
      <c r="E245" s="32" t="s">
        <v>46</v>
      </c>
      <c r="F245" s="45" t="s">
        <v>47</v>
      </c>
      <c r="G245" s="45"/>
      <c r="H245" s="45"/>
      <c r="I245" s="33">
        <f t="shared" si="62"/>
        <v>34660.37538639479</v>
      </c>
      <c r="J245" s="33">
        <f t="shared" si="62"/>
        <v>8318.488698319508</v>
      </c>
      <c r="K245" s="33">
        <f t="shared" si="62"/>
        <v>10437.476958157626</v>
      </c>
      <c r="L245" s="33">
        <f t="shared" si="62"/>
        <v>9839.330920620037</v>
      </c>
      <c r="M245" s="33">
        <f t="shared" si="55"/>
        <v>3581.5720070595253</v>
      </c>
      <c r="N245" s="33">
        <f t="shared" si="56"/>
        <v>869.7897465131355</v>
      </c>
      <c r="O245" s="33">
        <f t="shared" si="57"/>
        <v>67707.03371706462</v>
      </c>
      <c r="P245" s="33">
        <f t="shared" si="58"/>
        <v>5755.0978659504935</v>
      </c>
      <c r="Q245" s="33">
        <f t="shared" si="59"/>
        <v>16385.102159529637</v>
      </c>
      <c r="R245" s="33"/>
      <c r="S245" s="33">
        <f t="shared" si="60"/>
        <v>3029.984419307933</v>
      </c>
      <c r="T245" s="34">
        <f t="shared" si="61"/>
        <v>92877.21816185268</v>
      </c>
      <c r="V245" s="7"/>
    </row>
    <row r="246" spans="1:22" s="5" customFormat="1" ht="12.75" hidden="1">
      <c r="A246" s="30" t="s">
        <v>10</v>
      </c>
      <c r="B246" s="31" t="s">
        <v>37</v>
      </c>
      <c r="C246" s="31">
        <v>4</v>
      </c>
      <c r="D246" s="31" t="s">
        <v>31</v>
      </c>
      <c r="E246" s="32" t="s">
        <v>48</v>
      </c>
      <c r="F246" s="45"/>
      <c r="G246" s="45"/>
      <c r="H246" s="45"/>
      <c r="I246" s="33">
        <f t="shared" si="62"/>
        <v>25092.327950813167</v>
      </c>
      <c r="J246" s="33">
        <f t="shared" si="62"/>
        <v>8029.554240361817</v>
      </c>
      <c r="K246" s="33">
        <f t="shared" si="62"/>
        <v>9779.092182230626</v>
      </c>
      <c r="L246" s="33">
        <f t="shared" si="62"/>
        <v>0</v>
      </c>
      <c r="M246" s="33">
        <f t="shared" si="55"/>
        <v>2760.156849264582</v>
      </c>
      <c r="N246" s="33">
        <f t="shared" si="56"/>
        <v>814.9243485192188</v>
      </c>
      <c r="O246" s="33">
        <f t="shared" si="57"/>
        <v>46476.05557118941</v>
      </c>
      <c r="P246" s="33">
        <f t="shared" si="58"/>
        <v>3950.4647235510997</v>
      </c>
      <c r="Q246" s="33">
        <f t="shared" si="59"/>
        <v>11247.205448227836</v>
      </c>
      <c r="R246" s="33">
        <f>(I246+J246)*18%*24.2%</f>
        <v>1442.7891882475822</v>
      </c>
      <c r="S246" s="33">
        <f t="shared" si="60"/>
        <v>2399.1439008649218</v>
      </c>
      <c r="T246" s="34">
        <f t="shared" si="61"/>
        <v>65515.65883208086</v>
      </c>
      <c r="V246" s="7"/>
    </row>
    <row r="247" spans="1:22" s="5" customFormat="1" ht="12.75" hidden="1">
      <c r="A247" s="30" t="s">
        <v>10</v>
      </c>
      <c r="B247" s="31" t="s">
        <v>37</v>
      </c>
      <c r="C247" s="31">
        <v>4</v>
      </c>
      <c r="D247" s="31" t="s">
        <v>34</v>
      </c>
      <c r="E247" s="32" t="s">
        <v>49</v>
      </c>
      <c r="F247" s="45" t="s">
        <v>50</v>
      </c>
      <c r="G247" s="45"/>
      <c r="H247" s="45"/>
      <c r="I247" s="33">
        <f t="shared" si="62"/>
        <v>34660.37538639479</v>
      </c>
      <c r="J247" s="33">
        <f t="shared" si="62"/>
        <v>11091.318264426012</v>
      </c>
      <c r="K247" s="33">
        <f t="shared" si="62"/>
        <v>10437.476958157626</v>
      </c>
      <c r="L247" s="33">
        <f t="shared" si="62"/>
        <v>9839.330920620037</v>
      </c>
      <c r="M247" s="33">
        <f t="shared" si="55"/>
        <v>3812.6411375684</v>
      </c>
      <c r="N247" s="33">
        <f t="shared" si="56"/>
        <v>869.7897465131355</v>
      </c>
      <c r="O247" s="33">
        <f t="shared" si="57"/>
        <v>70710.93241368</v>
      </c>
      <c r="P247" s="33">
        <f t="shared" si="58"/>
        <v>6010.4292551628</v>
      </c>
      <c r="Q247" s="33">
        <f t="shared" si="59"/>
        <v>17112.04564411056</v>
      </c>
      <c r="R247" s="33"/>
      <c r="S247" s="33">
        <f t="shared" si="60"/>
        <v>3200.605865275686</v>
      </c>
      <c r="T247" s="34">
        <f t="shared" si="61"/>
        <v>97034.01317822906</v>
      </c>
      <c r="V247" s="7"/>
    </row>
    <row r="248" spans="1:22" s="5" customFormat="1" ht="12.75" hidden="1">
      <c r="A248" s="30" t="s">
        <v>10</v>
      </c>
      <c r="B248" s="31" t="s">
        <v>37</v>
      </c>
      <c r="C248" s="31">
        <v>5</v>
      </c>
      <c r="D248" s="31" t="s">
        <v>31</v>
      </c>
      <c r="E248" s="32" t="s">
        <v>51</v>
      </c>
      <c r="F248" s="45"/>
      <c r="G248" s="45"/>
      <c r="H248" s="45"/>
      <c r="I248" s="33">
        <f t="shared" si="62"/>
        <v>25092.327950813167</v>
      </c>
      <c r="J248" s="33">
        <f t="shared" si="62"/>
        <v>10036.94280045227</v>
      </c>
      <c r="K248" s="33">
        <f t="shared" si="62"/>
        <v>9779.092182230626</v>
      </c>
      <c r="L248" s="33">
        <f t="shared" si="62"/>
        <v>0</v>
      </c>
      <c r="M248" s="33">
        <f t="shared" si="55"/>
        <v>2927.43922927212</v>
      </c>
      <c r="N248" s="33">
        <f t="shared" si="56"/>
        <v>814.9243485192188</v>
      </c>
      <c r="O248" s="33">
        <f t="shared" si="57"/>
        <v>48650.7265112874</v>
      </c>
      <c r="P248" s="33">
        <f t="shared" si="58"/>
        <v>4135.311753459429</v>
      </c>
      <c r="Q248" s="33">
        <f t="shared" si="59"/>
        <v>11773.47581573155</v>
      </c>
      <c r="R248" s="33">
        <f>(I248+J248)*18%*24.2%</f>
        <v>1530.2310339251226</v>
      </c>
      <c r="S248" s="33">
        <f t="shared" si="60"/>
        <v>2522.6652102624876</v>
      </c>
      <c r="T248" s="34">
        <f t="shared" si="61"/>
        <v>68612.410324666</v>
      </c>
      <c r="V248" s="7"/>
    </row>
    <row r="249" spans="1:22" s="5" customFormat="1" ht="12.75" hidden="1">
      <c r="A249" s="30" t="s">
        <v>10</v>
      </c>
      <c r="B249" s="31" t="s">
        <v>37</v>
      </c>
      <c r="C249" s="31">
        <v>5</v>
      </c>
      <c r="D249" s="31" t="s">
        <v>34</v>
      </c>
      <c r="E249" s="32" t="s">
        <v>52</v>
      </c>
      <c r="F249" s="45" t="s">
        <v>53</v>
      </c>
      <c r="G249" s="45"/>
      <c r="H249" s="45"/>
      <c r="I249" s="33">
        <f t="shared" si="62"/>
        <v>34660.37538639479</v>
      </c>
      <c r="J249" s="33">
        <f t="shared" si="62"/>
        <v>13864.147830532514</v>
      </c>
      <c r="K249" s="33">
        <f t="shared" si="62"/>
        <v>10437.476958157626</v>
      </c>
      <c r="L249" s="33">
        <f t="shared" si="62"/>
        <v>11069.240023118164</v>
      </c>
      <c r="M249" s="33">
        <f t="shared" si="55"/>
        <v>4043.7102680772755</v>
      </c>
      <c r="N249" s="33">
        <f t="shared" si="56"/>
        <v>869.7897465131355</v>
      </c>
      <c r="O249" s="33">
        <f t="shared" si="57"/>
        <v>74944.74021279352</v>
      </c>
      <c r="P249" s="33">
        <f t="shared" si="58"/>
        <v>6370.302918087449</v>
      </c>
      <c r="Q249" s="33">
        <f t="shared" si="59"/>
        <v>18136.627131496032</v>
      </c>
      <c r="R249" s="33"/>
      <c r="S249" s="33">
        <f t="shared" si="60"/>
        <v>3371.2273112434395</v>
      </c>
      <c r="T249" s="34">
        <f t="shared" si="61"/>
        <v>102822.89757362043</v>
      </c>
      <c r="V249" s="7"/>
    </row>
    <row r="250" spans="1:22" s="5" customFormat="1" ht="12.75" hidden="1">
      <c r="A250" s="30" t="s">
        <v>10</v>
      </c>
      <c r="B250" s="31" t="s">
        <v>37</v>
      </c>
      <c r="C250" s="31">
        <v>6</v>
      </c>
      <c r="D250" s="31" t="s">
        <v>31</v>
      </c>
      <c r="E250" s="32" t="s">
        <v>54</v>
      </c>
      <c r="F250" s="45" t="s">
        <v>55</v>
      </c>
      <c r="G250" s="45"/>
      <c r="H250" s="45"/>
      <c r="I250" s="33">
        <f t="shared" si="62"/>
        <v>25092.327950813167</v>
      </c>
      <c r="J250" s="33">
        <f t="shared" si="62"/>
        <v>12044.331360542725</v>
      </c>
      <c r="K250" s="33">
        <f t="shared" si="62"/>
        <v>9779.092182230626</v>
      </c>
      <c r="L250" s="33">
        <f t="shared" si="62"/>
        <v>0</v>
      </c>
      <c r="M250" s="33">
        <f t="shared" si="55"/>
        <v>3094.7216092796575</v>
      </c>
      <c r="N250" s="33">
        <f t="shared" si="56"/>
        <v>814.9243485192188</v>
      </c>
      <c r="O250" s="33">
        <f t="shared" si="57"/>
        <v>50825.3974513854</v>
      </c>
      <c r="P250" s="33">
        <f t="shared" si="58"/>
        <v>4320.158783367759</v>
      </c>
      <c r="Q250" s="33">
        <f t="shared" si="59"/>
        <v>12299.746183235266</v>
      </c>
      <c r="R250" s="33">
        <f>(I250+J250)*18%*24.2%</f>
        <v>1617.6728796026625</v>
      </c>
      <c r="S250" s="33">
        <f t="shared" si="60"/>
        <v>2646.186519660054</v>
      </c>
      <c r="T250" s="34">
        <f t="shared" si="61"/>
        <v>71709.16181725114</v>
      </c>
      <c r="V250" s="7"/>
    </row>
    <row r="251" spans="1:22" s="5" customFormat="1" ht="12.75" hidden="1">
      <c r="A251" s="30" t="s">
        <v>10</v>
      </c>
      <c r="B251" s="31" t="s">
        <v>37</v>
      </c>
      <c r="C251" s="31">
        <v>6</v>
      </c>
      <c r="D251" s="31" t="s">
        <v>34</v>
      </c>
      <c r="E251" s="32" t="s">
        <v>56</v>
      </c>
      <c r="F251" s="45" t="s">
        <v>57</v>
      </c>
      <c r="G251" s="45"/>
      <c r="H251" s="45"/>
      <c r="I251" s="33">
        <f t="shared" si="62"/>
        <v>34660.37538639479</v>
      </c>
      <c r="J251" s="33">
        <f t="shared" si="62"/>
        <v>16636.977396639017</v>
      </c>
      <c r="K251" s="33">
        <f t="shared" si="62"/>
        <v>10437.476958157626</v>
      </c>
      <c r="L251" s="33">
        <f t="shared" si="62"/>
        <v>12299.160745743297</v>
      </c>
      <c r="M251" s="33">
        <f t="shared" si="55"/>
        <v>4274.779398586151</v>
      </c>
      <c r="N251" s="33">
        <f t="shared" si="56"/>
        <v>869.7897465131355</v>
      </c>
      <c r="O251" s="33">
        <f t="shared" si="57"/>
        <v>79178.55963203403</v>
      </c>
      <c r="P251" s="33">
        <f t="shared" si="58"/>
        <v>6730.177568722892</v>
      </c>
      <c r="Q251" s="33">
        <f t="shared" si="59"/>
        <v>19161.211430952233</v>
      </c>
      <c r="R251" s="33"/>
      <c r="S251" s="33">
        <f t="shared" si="60"/>
        <v>3541.848757211193</v>
      </c>
      <c r="T251" s="34">
        <f t="shared" si="61"/>
        <v>108611.79738892034</v>
      </c>
      <c r="V251" s="7"/>
    </row>
    <row r="252" spans="1:22" s="5" customFormat="1" ht="12.75" hidden="1">
      <c r="A252" s="30" t="s">
        <v>10</v>
      </c>
      <c r="B252" s="31" t="s">
        <v>37</v>
      </c>
      <c r="C252" s="31">
        <v>7</v>
      </c>
      <c r="D252" s="31" t="s">
        <v>34</v>
      </c>
      <c r="E252" s="32" t="s">
        <v>58</v>
      </c>
      <c r="F252" s="45" t="s">
        <v>59</v>
      </c>
      <c r="G252" s="45"/>
      <c r="H252" s="45"/>
      <c r="I252" s="33">
        <f t="shared" si="62"/>
        <v>34660.37538639479</v>
      </c>
      <c r="J252" s="33">
        <f t="shared" si="62"/>
        <v>19714.823676476928</v>
      </c>
      <c r="K252" s="33">
        <f t="shared" si="62"/>
        <v>10437.476958157626</v>
      </c>
      <c r="L252" s="33">
        <f t="shared" si="62"/>
        <v>12299.160745743297</v>
      </c>
      <c r="M252" s="33">
        <f t="shared" si="55"/>
        <v>4531.266588572643</v>
      </c>
      <c r="N252" s="33">
        <f t="shared" si="56"/>
        <v>869.7897465131355</v>
      </c>
      <c r="O252" s="33">
        <f t="shared" si="57"/>
        <v>82512.89310185843</v>
      </c>
      <c r="P252" s="33">
        <f t="shared" si="58"/>
        <v>7013.595913657966</v>
      </c>
      <c r="Q252" s="33">
        <f t="shared" si="59"/>
        <v>19968.12013064974</v>
      </c>
      <c r="R252" s="33"/>
      <c r="S252" s="33">
        <f t="shared" si="60"/>
        <v>3731.2388982972193</v>
      </c>
      <c r="T252" s="34">
        <f t="shared" si="61"/>
        <v>113225.84804446335</v>
      </c>
      <c r="V252" s="7"/>
    </row>
    <row r="253" spans="1:22" s="5" customFormat="1" ht="12.75" hidden="1">
      <c r="A253" s="30" t="s">
        <v>10</v>
      </c>
      <c r="B253" s="31" t="s">
        <v>37</v>
      </c>
      <c r="C253" s="31">
        <v>8</v>
      </c>
      <c r="D253" s="31" t="s">
        <v>34</v>
      </c>
      <c r="E253" s="32" t="s">
        <v>60</v>
      </c>
      <c r="F253" s="45" t="s">
        <v>61</v>
      </c>
      <c r="G253" s="45"/>
      <c r="H253" s="45"/>
      <c r="I253" s="33">
        <f aca="true" t="shared" si="63" ref="I253:L268">I176*1.0177</f>
        <v>34660.37538639479</v>
      </c>
      <c r="J253" s="33">
        <f t="shared" si="63"/>
        <v>22792.66995631484</v>
      </c>
      <c r="K253" s="33">
        <f t="shared" si="63"/>
        <v>10437.476958157626</v>
      </c>
      <c r="L253" s="33">
        <f t="shared" si="63"/>
        <v>12299.160745743297</v>
      </c>
      <c r="M253" s="33">
        <f t="shared" si="55"/>
        <v>4787.753778559137</v>
      </c>
      <c r="N253" s="33">
        <f t="shared" si="56"/>
        <v>869.7897465131355</v>
      </c>
      <c r="O253" s="33">
        <f t="shared" si="57"/>
        <v>85847.22657168284</v>
      </c>
      <c r="P253" s="33">
        <f t="shared" si="58"/>
        <v>7297.014258593042</v>
      </c>
      <c r="Q253" s="33">
        <f t="shared" si="59"/>
        <v>20775.028830347248</v>
      </c>
      <c r="R253" s="33"/>
      <c r="S253" s="33">
        <f t="shared" si="60"/>
        <v>3920.6290393832455</v>
      </c>
      <c r="T253" s="34">
        <f t="shared" si="61"/>
        <v>117839.89870000638</v>
      </c>
      <c r="V253" s="7"/>
    </row>
    <row r="254" spans="1:22" s="5" customFormat="1" ht="12.75" hidden="1">
      <c r="A254" s="30" t="s">
        <v>10</v>
      </c>
      <c r="B254" s="31" t="s">
        <v>37</v>
      </c>
      <c r="C254" s="31">
        <v>9</v>
      </c>
      <c r="D254" s="31" t="s">
        <v>34</v>
      </c>
      <c r="E254" s="32" t="s">
        <v>62</v>
      </c>
      <c r="F254" s="45" t="s">
        <v>63</v>
      </c>
      <c r="G254" s="45"/>
      <c r="H254" s="45"/>
      <c r="I254" s="33">
        <f t="shared" si="63"/>
        <v>34660.37538639479</v>
      </c>
      <c r="J254" s="33">
        <f t="shared" si="63"/>
        <v>25870.504616025744</v>
      </c>
      <c r="K254" s="33">
        <f t="shared" si="63"/>
        <v>10437.476958157626</v>
      </c>
      <c r="L254" s="33">
        <f t="shared" si="63"/>
        <v>12299.160745743297</v>
      </c>
      <c r="M254" s="33">
        <f t="shared" si="55"/>
        <v>5044.240000201712</v>
      </c>
      <c r="N254" s="33">
        <f t="shared" si="56"/>
        <v>869.7897465131355</v>
      </c>
      <c r="O254" s="33">
        <f t="shared" si="57"/>
        <v>89181.54745303631</v>
      </c>
      <c r="P254" s="33">
        <f t="shared" si="58"/>
        <v>7580.431533508086</v>
      </c>
      <c r="Q254" s="33">
        <f t="shared" si="59"/>
        <v>21581.93448363479</v>
      </c>
      <c r="R254" s="33"/>
      <c r="S254" s="33">
        <f t="shared" si="60"/>
        <v>4110.018465444124</v>
      </c>
      <c r="T254" s="34">
        <f t="shared" si="61"/>
        <v>122453.93193562332</v>
      </c>
      <c r="V254" s="7"/>
    </row>
    <row r="255" spans="1:22" s="5" customFormat="1" ht="12.75" hidden="1">
      <c r="A255" s="30" t="s">
        <v>10</v>
      </c>
      <c r="B255" s="31" t="s">
        <v>37</v>
      </c>
      <c r="C255" s="31">
        <v>10</v>
      </c>
      <c r="D255" s="31" t="s">
        <v>34</v>
      </c>
      <c r="E255" s="32" t="s">
        <v>64</v>
      </c>
      <c r="F255" s="45" t="s">
        <v>65</v>
      </c>
      <c r="G255" s="45"/>
      <c r="H255" s="45"/>
      <c r="I255" s="33">
        <f t="shared" si="63"/>
        <v>34660.37538639479</v>
      </c>
      <c r="J255" s="33">
        <f t="shared" si="63"/>
        <v>28948.350895863656</v>
      </c>
      <c r="K255" s="33">
        <f t="shared" si="63"/>
        <v>10437.476958157626</v>
      </c>
      <c r="L255" s="33">
        <f t="shared" si="63"/>
        <v>12299.160745743297</v>
      </c>
      <c r="M255" s="33">
        <f t="shared" si="55"/>
        <v>5300.727190188204</v>
      </c>
      <c r="N255" s="33">
        <f t="shared" si="56"/>
        <v>869.7897465131355</v>
      </c>
      <c r="O255" s="33">
        <f t="shared" si="57"/>
        <v>92515.88092286071</v>
      </c>
      <c r="P255" s="33">
        <f t="shared" si="58"/>
        <v>7863.84987844316</v>
      </c>
      <c r="Q255" s="33">
        <f t="shared" si="59"/>
        <v>22388.84318333229</v>
      </c>
      <c r="R255" s="33"/>
      <c r="S255" s="33">
        <f t="shared" si="60"/>
        <v>4299.40860653015</v>
      </c>
      <c r="T255" s="34">
        <f t="shared" si="61"/>
        <v>127067.98259116632</v>
      </c>
      <c r="V255" s="7"/>
    </row>
    <row r="256" spans="1:22" s="5" customFormat="1" ht="12.75" hidden="1">
      <c r="A256" s="30" t="s">
        <v>10</v>
      </c>
      <c r="B256" s="31" t="s">
        <v>37</v>
      </c>
      <c r="C256" s="31">
        <v>11</v>
      </c>
      <c r="D256" s="31" t="s">
        <v>34</v>
      </c>
      <c r="E256" s="32" t="s">
        <v>66</v>
      </c>
      <c r="F256" s="45" t="s">
        <v>67</v>
      </c>
      <c r="G256" s="45"/>
      <c r="H256" s="45"/>
      <c r="I256" s="33">
        <f t="shared" si="63"/>
        <v>34660.37538639479</v>
      </c>
      <c r="J256" s="33">
        <f t="shared" si="63"/>
        <v>32026.185555574564</v>
      </c>
      <c r="K256" s="33">
        <f t="shared" si="63"/>
        <v>10437.476958157626</v>
      </c>
      <c r="L256" s="33">
        <f t="shared" si="63"/>
        <v>12299.160745743297</v>
      </c>
      <c r="M256" s="33">
        <f t="shared" si="55"/>
        <v>5557.21341183078</v>
      </c>
      <c r="N256" s="33">
        <f t="shared" si="56"/>
        <v>869.7897465131355</v>
      </c>
      <c r="O256" s="33">
        <f t="shared" si="57"/>
        <v>95850.2018042142</v>
      </c>
      <c r="P256" s="33">
        <f t="shared" si="58"/>
        <v>8147.267153358207</v>
      </c>
      <c r="Q256" s="33">
        <f t="shared" si="59"/>
        <v>23195.748836619834</v>
      </c>
      <c r="R256" s="33"/>
      <c r="S256" s="33">
        <f t="shared" si="60"/>
        <v>4488.798032591028</v>
      </c>
      <c r="T256" s="34">
        <f t="shared" si="61"/>
        <v>131682.01582678326</v>
      </c>
      <c r="V256" s="7"/>
    </row>
    <row r="257" spans="1:22" s="5" customFormat="1" ht="12.75" hidden="1">
      <c r="A257" s="30" t="s">
        <v>10</v>
      </c>
      <c r="B257" s="31" t="s">
        <v>37</v>
      </c>
      <c r="C257" s="31">
        <v>12</v>
      </c>
      <c r="D257" s="31" t="s">
        <v>34</v>
      </c>
      <c r="E257" s="32" t="s">
        <v>68</v>
      </c>
      <c r="F257" s="45" t="s">
        <v>69</v>
      </c>
      <c r="G257" s="45"/>
      <c r="H257" s="45"/>
      <c r="I257" s="33">
        <f t="shared" si="63"/>
        <v>34660.37538639479</v>
      </c>
      <c r="J257" s="33">
        <f t="shared" si="63"/>
        <v>35104.03183541247</v>
      </c>
      <c r="K257" s="33">
        <f t="shared" si="63"/>
        <v>10437.476958157626</v>
      </c>
      <c r="L257" s="33">
        <f t="shared" si="63"/>
        <v>12299.160745743297</v>
      </c>
      <c r="M257" s="33">
        <f t="shared" si="55"/>
        <v>5813.7006018172715</v>
      </c>
      <c r="N257" s="33">
        <f t="shared" si="56"/>
        <v>869.7897465131355</v>
      </c>
      <c r="O257" s="33">
        <f t="shared" si="57"/>
        <v>99184.53527403859</v>
      </c>
      <c r="P257" s="33">
        <f t="shared" si="58"/>
        <v>8430.68549829328</v>
      </c>
      <c r="Q257" s="33">
        <f t="shared" si="59"/>
        <v>24002.65753631734</v>
      </c>
      <c r="R257" s="49">
        <v>62.52</v>
      </c>
      <c r="S257" s="33">
        <f t="shared" si="60"/>
        <v>4678.188173677052</v>
      </c>
      <c r="T257" s="34">
        <f>O257+P257+Q257+R257+S257</f>
        <v>136358.58648232624</v>
      </c>
      <c r="V257" s="7"/>
    </row>
    <row r="258" spans="1:22" s="5" customFormat="1" ht="12.75" hidden="1">
      <c r="A258" s="30" t="s">
        <v>10</v>
      </c>
      <c r="B258" s="31" t="s">
        <v>37</v>
      </c>
      <c r="C258" s="31">
        <v>13</v>
      </c>
      <c r="D258" s="31" t="s">
        <v>34</v>
      </c>
      <c r="E258" s="32" t="s">
        <v>70</v>
      </c>
      <c r="F258" s="45" t="s">
        <v>71</v>
      </c>
      <c r="G258" s="45"/>
      <c r="H258" s="45"/>
      <c r="I258" s="33">
        <f t="shared" si="63"/>
        <v>34660.37538639479</v>
      </c>
      <c r="J258" s="33">
        <f t="shared" si="63"/>
        <v>38181.87811525038</v>
      </c>
      <c r="K258" s="33">
        <f t="shared" si="63"/>
        <v>10437.476958157626</v>
      </c>
      <c r="L258" s="33">
        <f t="shared" si="63"/>
        <v>12299.160745743297</v>
      </c>
      <c r="M258" s="33">
        <f t="shared" si="55"/>
        <v>6070.187791803764</v>
      </c>
      <c r="N258" s="33">
        <f t="shared" si="56"/>
        <v>869.7897465131355</v>
      </c>
      <c r="O258" s="33">
        <f t="shared" si="57"/>
        <v>102518.868743863</v>
      </c>
      <c r="P258" s="33">
        <f t="shared" si="58"/>
        <v>8714.103843228355</v>
      </c>
      <c r="Q258" s="33">
        <f t="shared" si="59"/>
        <v>24809.566236014845</v>
      </c>
      <c r="R258" s="49">
        <v>196.61</v>
      </c>
      <c r="S258" s="33">
        <f t="shared" si="60"/>
        <v>4867.578314763079</v>
      </c>
      <c r="T258" s="34">
        <f t="shared" si="61"/>
        <v>141106.72713786928</v>
      </c>
      <c r="V258" s="7"/>
    </row>
    <row r="259" spans="1:22" s="5" customFormat="1" ht="13.5" hidden="1" thickBot="1">
      <c r="A259" s="35" t="s">
        <v>10</v>
      </c>
      <c r="B259" s="36" t="s">
        <v>37</v>
      </c>
      <c r="C259" s="36">
        <v>14</v>
      </c>
      <c r="D259" s="36" t="s">
        <v>34</v>
      </c>
      <c r="E259" s="37" t="s">
        <v>72</v>
      </c>
      <c r="F259" s="46" t="s">
        <v>73</v>
      </c>
      <c r="G259" s="46"/>
      <c r="H259" s="46"/>
      <c r="I259" s="38">
        <f t="shared" si="63"/>
        <v>34660.37538639479</v>
      </c>
      <c r="J259" s="38">
        <f t="shared" si="63"/>
        <v>41259.712774961285</v>
      </c>
      <c r="K259" s="38">
        <f t="shared" si="63"/>
        <v>10437.476958157626</v>
      </c>
      <c r="L259" s="38">
        <f t="shared" si="63"/>
        <v>12299.160745743297</v>
      </c>
      <c r="M259" s="38">
        <f t="shared" si="55"/>
        <v>6326.67401344634</v>
      </c>
      <c r="N259" s="38">
        <f t="shared" si="56"/>
        <v>869.7897465131355</v>
      </c>
      <c r="O259" s="38">
        <f t="shared" si="57"/>
        <v>105853.18962521649</v>
      </c>
      <c r="P259" s="38">
        <f t="shared" si="58"/>
        <v>8997.5211181434</v>
      </c>
      <c r="Q259" s="38">
        <f t="shared" si="59"/>
        <v>25616.47188930239</v>
      </c>
      <c r="R259" s="50">
        <v>330.68</v>
      </c>
      <c r="S259" s="38">
        <f t="shared" si="60"/>
        <v>5056.967740823957</v>
      </c>
      <c r="T259" s="39">
        <f t="shared" si="61"/>
        <v>145854.8303734862</v>
      </c>
      <c r="V259" s="7"/>
    </row>
    <row r="260" spans="1:22" s="5" customFormat="1" ht="13.5" hidden="1" thickTop="1">
      <c r="A260" s="25" t="s">
        <v>9</v>
      </c>
      <c r="B260" s="26" t="s">
        <v>74</v>
      </c>
      <c r="C260" s="26">
        <v>0</v>
      </c>
      <c r="D260" s="26" t="s">
        <v>31</v>
      </c>
      <c r="E260" s="27" t="s">
        <v>75</v>
      </c>
      <c r="F260" s="47" t="s">
        <v>76</v>
      </c>
      <c r="G260" s="48"/>
      <c r="H260" s="48"/>
      <c r="I260" s="33">
        <f t="shared" si="63"/>
        <v>16576.77351863062</v>
      </c>
      <c r="J260" s="33">
        <f t="shared" si="63"/>
        <v>0</v>
      </c>
      <c r="K260" s="33">
        <f t="shared" si="63"/>
        <v>9193.135657920373</v>
      </c>
      <c r="L260" s="33">
        <f t="shared" si="63"/>
        <v>0</v>
      </c>
      <c r="M260" s="28">
        <f t="shared" si="55"/>
        <v>1381.3977932192183</v>
      </c>
      <c r="N260" s="28">
        <f t="shared" si="56"/>
        <v>766.0946381600311</v>
      </c>
      <c r="O260" s="28">
        <f t="shared" si="57"/>
        <v>27917.401607930242</v>
      </c>
      <c r="P260" s="28">
        <f t="shared" si="58"/>
        <v>2372.9791366740706</v>
      </c>
      <c r="Q260" s="28">
        <f t="shared" si="59"/>
        <v>6756.011189119118</v>
      </c>
      <c r="R260" s="28">
        <f>(I260+J260)*18%*24.2%</f>
        <v>722.0842544715498</v>
      </c>
      <c r="S260" s="28">
        <f t="shared" si="60"/>
        <v>1359.4346990034908</v>
      </c>
      <c r="T260" s="29">
        <f>O260+P260+Q260+R260+S260</f>
        <v>39127.91088719847</v>
      </c>
      <c r="V260" s="7"/>
    </row>
    <row r="261" spans="1:22" s="5" customFormat="1" ht="12.75" hidden="1">
      <c r="A261" s="30" t="s">
        <v>9</v>
      </c>
      <c r="B261" s="31" t="s">
        <v>74</v>
      </c>
      <c r="C261" s="31">
        <v>0</v>
      </c>
      <c r="D261" s="31" t="s">
        <v>34</v>
      </c>
      <c r="E261" s="32" t="s">
        <v>77</v>
      </c>
      <c r="F261" s="45" t="s">
        <v>78</v>
      </c>
      <c r="G261" s="45"/>
      <c r="H261" s="45"/>
      <c r="I261" s="33">
        <f t="shared" si="63"/>
        <v>22738.589885237616</v>
      </c>
      <c r="J261" s="33">
        <f t="shared" si="63"/>
        <v>0</v>
      </c>
      <c r="K261" s="33">
        <f t="shared" si="63"/>
        <v>9617.119231920062</v>
      </c>
      <c r="L261" s="33">
        <f t="shared" si="63"/>
        <v>5165.646118796945</v>
      </c>
      <c r="M261" s="33">
        <f t="shared" si="55"/>
        <v>1894.882490436468</v>
      </c>
      <c r="N261" s="33">
        <f t="shared" si="56"/>
        <v>801.4266026600052</v>
      </c>
      <c r="O261" s="33">
        <f t="shared" si="57"/>
        <v>40217.66432905109</v>
      </c>
      <c r="P261" s="33">
        <f t="shared" si="58"/>
        <v>3418.5014679693427</v>
      </c>
      <c r="Q261" s="33">
        <f t="shared" si="59"/>
        <v>9732.674767630364</v>
      </c>
      <c r="R261" s="33"/>
      <c r="S261" s="33">
        <f t="shared" si="60"/>
        <v>1754.2452729807765</v>
      </c>
      <c r="T261" s="34">
        <f aca="true" t="shared" si="64" ref="T261:T307">O261+P261+Q261+R261+S261</f>
        <v>55123.085837631574</v>
      </c>
      <c r="V261" s="7"/>
    </row>
    <row r="262" spans="1:22" s="5" customFormat="1" ht="12.75" hidden="1">
      <c r="A262" s="30" t="s">
        <v>9</v>
      </c>
      <c r="B262" s="31" t="s">
        <v>79</v>
      </c>
      <c r="C262" s="31">
        <v>0</v>
      </c>
      <c r="D262" s="31" t="s">
        <v>31</v>
      </c>
      <c r="E262" s="32" t="s">
        <v>80</v>
      </c>
      <c r="F262" s="45"/>
      <c r="G262" s="45"/>
      <c r="H262" s="45"/>
      <c r="I262" s="33">
        <f t="shared" si="63"/>
        <v>17916.2952791587</v>
      </c>
      <c r="J262" s="33">
        <f t="shared" si="63"/>
        <v>0</v>
      </c>
      <c r="K262" s="33">
        <f t="shared" si="63"/>
        <v>9285.318125444133</v>
      </c>
      <c r="L262" s="33">
        <f t="shared" si="63"/>
        <v>0</v>
      </c>
      <c r="M262" s="33">
        <f t="shared" si="55"/>
        <v>1493.0246065965584</v>
      </c>
      <c r="N262" s="33">
        <f t="shared" si="56"/>
        <v>773.7765104536778</v>
      </c>
      <c r="O262" s="33">
        <f t="shared" si="57"/>
        <v>29468.41452165307</v>
      </c>
      <c r="P262" s="33">
        <f t="shared" si="58"/>
        <v>2504.815234340511</v>
      </c>
      <c r="Q262" s="33">
        <f t="shared" si="59"/>
        <v>7131.3563142400435</v>
      </c>
      <c r="R262" s="33">
        <f>(I262+J262)*18%*24.2%</f>
        <v>780.4338223601529</v>
      </c>
      <c r="S262" s="33">
        <f t="shared" si="60"/>
        <v>1445.263314702296</v>
      </c>
      <c r="T262" s="34">
        <f t="shared" si="64"/>
        <v>41330.283207296074</v>
      </c>
      <c r="V262" s="7"/>
    </row>
    <row r="263" spans="1:22" s="5" customFormat="1" ht="12.75" hidden="1">
      <c r="A263" s="30" t="s">
        <v>9</v>
      </c>
      <c r="B263" s="31" t="s">
        <v>79</v>
      </c>
      <c r="C263" s="31">
        <v>0</v>
      </c>
      <c r="D263" s="31" t="s">
        <v>34</v>
      </c>
      <c r="E263" s="32" t="s">
        <v>81</v>
      </c>
      <c r="F263" s="45" t="s">
        <v>82</v>
      </c>
      <c r="G263" s="45"/>
      <c r="H263" s="45"/>
      <c r="I263" s="33">
        <f t="shared" si="63"/>
        <v>24613.92732205314</v>
      </c>
      <c r="J263" s="33">
        <f t="shared" si="63"/>
        <v>0</v>
      </c>
      <c r="K263" s="33">
        <f t="shared" si="63"/>
        <v>9746.160742300925</v>
      </c>
      <c r="L263" s="33">
        <f t="shared" si="63"/>
        <v>5165.646118796945</v>
      </c>
      <c r="M263" s="33">
        <f t="shared" si="55"/>
        <v>2051.160610171095</v>
      </c>
      <c r="N263" s="33">
        <f t="shared" si="56"/>
        <v>812.1800618584103</v>
      </c>
      <c r="O263" s="33">
        <f t="shared" si="57"/>
        <v>42389.074855180515</v>
      </c>
      <c r="P263" s="33">
        <f t="shared" si="58"/>
        <v>3603.0713626903434</v>
      </c>
      <c r="Q263" s="33">
        <f t="shared" si="59"/>
        <v>10258.156114953685</v>
      </c>
      <c r="R263" s="33"/>
      <c r="S263" s="33">
        <f t="shared" si="60"/>
        <v>1874.4052491560863</v>
      </c>
      <c r="T263" s="34">
        <f t="shared" si="64"/>
        <v>58124.707581980634</v>
      </c>
      <c r="V263" s="7"/>
    </row>
    <row r="264" spans="1:22" s="5" customFormat="1" ht="12.75" hidden="1">
      <c r="A264" s="30" t="s">
        <v>9</v>
      </c>
      <c r="B264" s="31" t="s">
        <v>79</v>
      </c>
      <c r="C264" s="31">
        <v>1</v>
      </c>
      <c r="D264" s="31" t="s">
        <v>31</v>
      </c>
      <c r="E264" s="32" t="s">
        <v>83</v>
      </c>
      <c r="F264" s="45"/>
      <c r="G264" s="45"/>
      <c r="H264" s="45"/>
      <c r="I264" s="33">
        <f t="shared" si="63"/>
        <v>17916.2952791587</v>
      </c>
      <c r="J264" s="33">
        <f t="shared" si="63"/>
        <v>1433.3078055784179</v>
      </c>
      <c r="K264" s="33">
        <f t="shared" si="63"/>
        <v>9285.318125444133</v>
      </c>
      <c r="L264" s="33">
        <f t="shared" si="63"/>
        <v>0</v>
      </c>
      <c r="M264" s="33">
        <f t="shared" si="55"/>
        <v>1612.4669237280932</v>
      </c>
      <c r="N264" s="33">
        <f t="shared" si="56"/>
        <v>773.7765104536778</v>
      </c>
      <c r="O264" s="33">
        <f t="shared" si="57"/>
        <v>31021.164644363023</v>
      </c>
      <c r="P264" s="33">
        <f t="shared" si="58"/>
        <v>2636.798994770857</v>
      </c>
      <c r="Q264" s="33">
        <f t="shared" si="59"/>
        <v>7507.121843935852</v>
      </c>
      <c r="R264" s="33">
        <f>(I264+J264)*18%*24.2%</f>
        <v>842.8687103711488</v>
      </c>
      <c r="S264" s="33">
        <f t="shared" si="60"/>
        <v>1533.4595216722212</v>
      </c>
      <c r="T264" s="34">
        <f t="shared" si="64"/>
        <v>43541.4137151131</v>
      </c>
      <c r="V264" s="7"/>
    </row>
    <row r="265" spans="1:22" s="5" customFormat="1" ht="12.75" hidden="1">
      <c r="A265" s="30" t="s">
        <v>9</v>
      </c>
      <c r="B265" s="31" t="s">
        <v>79</v>
      </c>
      <c r="C265" s="31">
        <v>1</v>
      </c>
      <c r="D265" s="31" t="s">
        <v>34</v>
      </c>
      <c r="E265" s="32" t="s">
        <v>84</v>
      </c>
      <c r="F265" s="45"/>
      <c r="G265" s="45"/>
      <c r="H265" s="45"/>
      <c r="I265" s="33">
        <f t="shared" si="63"/>
        <v>24613.92732205314</v>
      </c>
      <c r="J265" s="33">
        <f t="shared" si="63"/>
        <v>1969.1118617388502</v>
      </c>
      <c r="K265" s="33">
        <f t="shared" si="63"/>
        <v>9746.160742300925</v>
      </c>
      <c r="L265" s="33">
        <f t="shared" si="63"/>
        <v>6026.592948659936</v>
      </c>
      <c r="M265" s="33">
        <f t="shared" si="55"/>
        <v>2215.253265315999</v>
      </c>
      <c r="N265" s="33">
        <f t="shared" si="56"/>
        <v>812.1800618584103</v>
      </c>
      <c r="O265" s="33">
        <f t="shared" si="57"/>
        <v>45383.22620192726</v>
      </c>
      <c r="P265" s="33">
        <f t="shared" si="58"/>
        <v>3857.5742271638173</v>
      </c>
      <c r="Q265" s="33">
        <f t="shared" si="59"/>
        <v>10982.740740866395</v>
      </c>
      <c r="R265" s="33"/>
      <c r="S265" s="33">
        <f t="shared" si="60"/>
        <v>1995.5712657150837</v>
      </c>
      <c r="T265" s="34">
        <f t="shared" si="64"/>
        <v>62219.112435672556</v>
      </c>
      <c r="V265" s="7"/>
    </row>
    <row r="266" spans="1:22" s="5" customFormat="1" ht="12.75" hidden="1">
      <c r="A266" s="30" t="s">
        <v>9</v>
      </c>
      <c r="B266" s="31" t="s">
        <v>79</v>
      </c>
      <c r="C266" s="31">
        <v>2</v>
      </c>
      <c r="D266" s="31" t="s">
        <v>31</v>
      </c>
      <c r="E266" s="32" t="s">
        <v>85</v>
      </c>
      <c r="F266" s="45"/>
      <c r="G266" s="45"/>
      <c r="H266" s="45"/>
      <c r="I266" s="33">
        <f t="shared" si="63"/>
        <v>17916.2952791587</v>
      </c>
      <c r="J266" s="33">
        <f t="shared" si="63"/>
        <v>2866.6156111568357</v>
      </c>
      <c r="K266" s="33">
        <f t="shared" si="63"/>
        <v>9285.318125444133</v>
      </c>
      <c r="L266" s="33">
        <f t="shared" si="63"/>
        <v>0</v>
      </c>
      <c r="M266" s="33">
        <f t="shared" si="55"/>
        <v>1731.909240859628</v>
      </c>
      <c r="N266" s="33">
        <f t="shared" si="56"/>
        <v>773.7765104536778</v>
      </c>
      <c r="O266" s="33">
        <f t="shared" si="57"/>
        <v>32573.914767072976</v>
      </c>
      <c r="P266" s="33">
        <f t="shared" si="58"/>
        <v>2768.7827552012027</v>
      </c>
      <c r="Q266" s="33">
        <f t="shared" si="59"/>
        <v>7882.887373631661</v>
      </c>
      <c r="R266" s="33">
        <f>(I266+J266)*18%*24.2%</f>
        <v>905.3035983821447</v>
      </c>
      <c r="S266" s="33">
        <f t="shared" si="60"/>
        <v>1621.6557286421464</v>
      </c>
      <c r="T266" s="34">
        <f t="shared" si="64"/>
        <v>45752.54422293013</v>
      </c>
      <c r="V266" s="7"/>
    </row>
    <row r="267" spans="1:22" s="5" customFormat="1" ht="12.75" hidden="1">
      <c r="A267" s="30" t="s">
        <v>9</v>
      </c>
      <c r="B267" s="31" t="s">
        <v>79</v>
      </c>
      <c r="C267" s="31">
        <v>2</v>
      </c>
      <c r="D267" s="31" t="s">
        <v>34</v>
      </c>
      <c r="E267" s="32" t="s">
        <v>86</v>
      </c>
      <c r="F267" s="45" t="s">
        <v>87</v>
      </c>
      <c r="G267" s="45"/>
      <c r="H267" s="45"/>
      <c r="I267" s="33">
        <f t="shared" si="63"/>
        <v>24613.92732205314</v>
      </c>
      <c r="J267" s="33">
        <f t="shared" si="63"/>
        <v>3938.2237234777003</v>
      </c>
      <c r="K267" s="33">
        <f t="shared" si="63"/>
        <v>9746.160742300925</v>
      </c>
      <c r="L267" s="33">
        <f t="shared" si="63"/>
        <v>6026.592948659936</v>
      </c>
      <c r="M267" s="33">
        <f t="shared" si="55"/>
        <v>2379.345920460903</v>
      </c>
      <c r="N267" s="33">
        <f t="shared" si="56"/>
        <v>812.1800618584103</v>
      </c>
      <c r="O267" s="33">
        <f t="shared" si="57"/>
        <v>47516.43071881101</v>
      </c>
      <c r="P267" s="33">
        <f t="shared" si="58"/>
        <v>4038.896611098936</v>
      </c>
      <c r="Q267" s="33">
        <f t="shared" si="59"/>
        <v>11498.976233952264</v>
      </c>
      <c r="R267" s="33"/>
      <c r="S267" s="33">
        <f t="shared" si="60"/>
        <v>2116.737282274081</v>
      </c>
      <c r="T267" s="34">
        <f t="shared" si="64"/>
        <v>65171.04084613629</v>
      </c>
      <c r="V267" s="7"/>
    </row>
    <row r="268" spans="1:22" s="5" customFormat="1" ht="12.75" hidden="1">
      <c r="A268" s="30" t="s">
        <v>9</v>
      </c>
      <c r="B268" s="31" t="s">
        <v>79</v>
      </c>
      <c r="C268" s="31">
        <v>3</v>
      </c>
      <c r="D268" s="31" t="s">
        <v>31</v>
      </c>
      <c r="E268" s="32" t="s">
        <v>88</v>
      </c>
      <c r="F268" s="45" t="s">
        <v>89</v>
      </c>
      <c r="G268" s="45"/>
      <c r="H268" s="45"/>
      <c r="I268" s="33">
        <f t="shared" si="63"/>
        <v>17916.2952791587</v>
      </c>
      <c r="J268" s="33">
        <f t="shared" si="63"/>
        <v>4299.923416735253</v>
      </c>
      <c r="K268" s="33">
        <f t="shared" si="63"/>
        <v>9285.318125444133</v>
      </c>
      <c r="L268" s="33">
        <f t="shared" si="63"/>
        <v>0</v>
      </c>
      <c r="M268" s="33">
        <f t="shared" si="55"/>
        <v>1851.351557991163</v>
      </c>
      <c r="N268" s="33">
        <f t="shared" si="56"/>
        <v>773.7765104536778</v>
      </c>
      <c r="O268" s="33">
        <f t="shared" si="57"/>
        <v>34126.66488978294</v>
      </c>
      <c r="P268" s="33">
        <f t="shared" si="58"/>
        <v>2900.7665156315493</v>
      </c>
      <c r="Q268" s="33">
        <f t="shared" si="59"/>
        <v>8258.652903327471</v>
      </c>
      <c r="R268" s="33">
        <f>(I268+J268)*18%*24.2%</f>
        <v>967.7384863931406</v>
      </c>
      <c r="S268" s="33">
        <f t="shared" si="60"/>
        <v>1709.851935612072</v>
      </c>
      <c r="T268" s="34">
        <f t="shared" si="64"/>
        <v>47963.674730747174</v>
      </c>
      <c r="V268" s="7"/>
    </row>
    <row r="269" spans="1:22" s="5" customFormat="1" ht="12.75" hidden="1">
      <c r="A269" s="30" t="s">
        <v>9</v>
      </c>
      <c r="B269" s="31" t="s">
        <v>79</v>
      </c>
      <c r="C269" s="31">
        <v>3</v>
      </c>
      <c r="D269" s="31" t="s">
        <v>34</v>
      </c>
      <c r="E269" s="32" t="s">
        <v>90</v>
      </c>
      <c r="F269" s="45" t="s">
        <v>91</v>
      </c>
      <c r="G269" s="45"/>
      <c r="H269" s="45"/>
      <c r="I269" s="33">
        <f aca="true" t="shared" si="65" ref="I269:L284">I192*1.0177</f>
        <v>24613.92732205314</v>
      </c>
      <c r="J269" s="33">
        <f t="shared" si="65"/>
        <v>5907.33558521655</v>
      </c>
      <c r="K269" s="33">
        <f t="shared" si="65"/>
        <v>9746.160742300925</v>
      </c>
      <c r="L269" s="33">
        <f t="shared" si="65"/>
        <v>6887.528158395926</v>
      </c>
      <c r="M269" s="33">
        <f t="shared" si="55"/>
        <v>2543.4385756058073</v>
      </c>
      <c r="N269" s="33">
        <f t="shared" si="56"/>
        <v>812.1800618584103</v>
      </c>
      <c r="O269" s="33">
        <f t="shared" si="57"/>
        <v>50510.570445430756</v>
      </c>
      <c r="P269" s="33">
        <f t="shared" si="58"/>
        <v>4293.398487861614</v>
      </c>
      <c r="Q269" s="33">
        <f t="shared" si="59"/>
        <v>12223.558047794244</v>
      </c>
      <c r="R269" s="33"/>
      <c r="S269" s="33">
        <f t="shared" si="60"/>
        <v>2237.903298833078</v>
      </c>
      <c r="T269" s="34">
        <f t="shared" si="64"/>
        <v>69265.43027991969</v>
      </c>
      <c r="V269" s="7"/>
    </row>
    <row r="270" spans="1:22" s="5" customFormat="1" ht="12.75" hidden="1">
      <c r="A270" s="30" t="s">
        <v>9</v>
      </c>
      <c r="B270" s="31" t="s">
        <v>79</v>
      </c>
      <c r="C270" s="31">
        <v>4</v>
      </c>
      <c r="D270" s="31" t="s">
        <v>31</v>
      </c>
      <c r="E270" s="32" t="s">
        <v>92</v>
      </c>
      <c r="F270" s="45"/>
      <c r="G270" s="45"/>
      <c r="H270" s="45"/>
      <c r="I270" s="33">
        <f t="shared" si="65"/>
        <v>17916.2952791587</v>
      </c>
      <c r="J270" s="33">
        <f t="shared" si="65"/>
        <v>5733.231222313671</v>
      </c>
      <c r="K270" s="33">
        <f t="shared" si="65"/>
        <v>9285.318125444133</v>
      </c>
      <c r="L270" s="33">
        <f t="shared" si="65"/>
        <v>0</v>
      </c>
      <c r="M270" s="33">
        <f t="shared" si="55"/>
        <v>1970.7938751226977</v>
      </c>
      <c r="N270" s="33">
        <f t="shared" si="56"/>
        <v>773.7765104536778</v>
      </c>
      <c r="O270" s="33">
        <f t="shared" si="57"/>
        <v>35679.415012492886</v>
      </c>
      <c r="P270" s="33">
        <f t="shared" si="58"/>
        <v>3032.7502760618954</v>
      </c>
      <c r="Q270" s="33">
        <f t="shared" si="59"/>
        <v>8634.418433023278</v>
      </c>
      <c r="R270" s="33">
        <f>(I270+J270)*18%*24.2%</f>
        <v>1030.1733744041364</v>
      </c>
      <c r="S270" s="33">
        <f t="shared" si="60"/>
        <v>1798.0481425819974</v>
      </c>
      <c r="T270" s="34">
        <f t="shared" si="64"/>
        <v>50174.80523856419</v>
      </c>
      <c r="V270" s="7"/>
    </row>
    <row r="271" spans="1:22" s="5" customFormat="1" ht="12.75" hidden="1">
      <c r="A271" s="30" t="s">
        <v>9</v>
      </c>
      <c r="B271" s="31" t="s">
        <v>79</v>
      </c>
      <c r="C271" s="31">
        <v>4</v>
      </c>
      <c r="D271" s="31" t="s">
        <v>34</v>
      </c>
      <c r="E271" s="32" t="s">
        <v>93</v>
      </c>
      <c r="F271" s="45" t="s">
        <v>94</v>
      </c>
      <c r="G271" s="45"/>
      <c r="H271" s="45"/>
      <c r="I271" s="33">
        <f t="shared" si="65"/>
        <v>24613.92732205314</v>
      </c>
      <c r="J271" s="33">
        <f t="shared" si="65"/>
        <v>7876.447446955401</v>
      </c>
      <c r="K271" s="33">
        <f t="shared" si="65"/>
        <v>9746.160742300925</v>
      </c>
      <c r="L271" s="33">
        <f t="shared" si="65"/>
        <v>6887.528158395926</v>
      </c>
      <c r="M271" s="33">
        <f t="shared" si="55"/>
        <v>2707.5312307507115</v>
      </c>
      <c r="N271" s="33">
        <f t="shared" si="56"/>
        <v>812.1800618584103</v>
      </c>
      <c r="O271" s="33">
        <f t="shared" si="57"/>
        <v>52643.77496231451</v>
      </c>
      <c r="P271" s="33">
        <f t="shared" si="58"/>
        <v>4474.720871796733</v>
      </c>
      <c r="Q271" s="33">
        <f t="shared" si="59"/>
        <v>12739.79354088011</v>
      </c>
      <c r="R271" s="33"/>
      <c r="S271" s="33">
        <f t="shared" si="60"/>
        <v>2359.0693153920756</v>
      </c>
      <c r="T271" s="34">
        <f t="shared" si="64"/>
        <v>72217.35869038342</v>
      </c>
      <c r="V271" s="7"/>
    </row>
    <row r="272" spans="1:22" s="5" customFormat="1" ht="12.75" hidden="1">
      <c r="A272" s="30" t="s">
        <v>9</v>
      </c>
      <c r="B272" s="31" t="s">
        <v>79</v>
      </c>
      <c r="C272" s="31">
        <v>5</v>
      </c>
      <c r="D272" s="31" t="s">
        <v>31</v>
      </c>
      <c r="E272" s="32" t="s">
        <v>95</v>
      </c>
      <c r="F272" s="45"/>
      <c r="G272" s="45"/>
      <c r="H272" s="45"/>
      <c r="I272" s="33">
        <f t="shared" si="65"/>
        <v>17916.2952791587</v>
      </c>
      <c r="J272" s="33">
        <f t="shared" si="65"/>
        <v>7166.5390278920895</v>
      </c>
      <c r="K272" s="33">
        <f t="shared" si="65"/>
        <v>9285.318125444133</v>
      </c>
      <c r="L272" s="33">
        <f t="shared" si="65"/>
        <v>0</v>
      </c>
      <c r="M272" s="33">
        <f t="shared" si="55"/>
        <v>2090.2361922542327</v>
      </c>
      <c r="N272" s="33">
        <f t="shared" si="56"/>
        <v>773.7765104536778</v>
      </c>
      <c r="O272" s="33">
        <f t="shared" si="57"/>
        <v>37232.16513520284</v>
      </c>
      <c r="P272" s="33">
        <f t="shared" si="58"/>
        <v>3164.7340364922416</v>
      </c>
      <c r="Q272" s="33">
        <f t="shared" si="59"/>
        <v>9010.183962719088</v>
      </c>
      <c r="R272" s="33">
        <f>(I272+J272)*18%*24.2%</f>
        <v>1092.6082624151325</v>
      </c>
      <c r="S272" s="33">
        <f t="shared" si="60"/>
        <v>1886.2443495519228</v>
      </c>
      <c r="T272" s="34">
        <f t="shared" si="64"/>
        <v>52385.93574638123</v>
      </c>
      <c r="V272" s="7"/>
    </row>
    <row r="273" spans="1:22" s="5" customFormat="1" ht="12.75" hidden="1">
      <c r="A273" s="30" t="s">
        <v>9</v>
      </c>
      <c r="B273" s="31" t="s">
        <v>79</v>
      </c>
      <c r="C273" s="31">
        <v>5</v>
      </c>
      <c r="D273" s="31" t="s">
        <v>34</v>
      </c>
      <c r="E273" s="32" t="s">
        <v>96</v>
      </c>
      <c r="F273" s="45" t="s">
        <v>97</v>
      </c>
      <c r="G273" s="45"/>
      <c r="H273" s="45"/>
      <c r="I273" s="33">
        <f t="shared" si="65"/>
        <v>24613.92732205314</v>
      </c>
      <c r="J273" s="33">
        <f t="shared" si="65"/>
        <v>9845.559308694255</v>
      </c>
      <c r="K273" s="33">
        <f t="shared" si="65"/>
        <v>9746.160742300925</v>
      </c>
      <c r="L273" s="33">
        <f t="shared" si="65"/>
        <v>7748.474988258916</v>
      </c>
      <c r="M273" s="33">
        <f t="shared" si="55"/>
        <v>2871.6238858956162</v>
      </c>
      <c r="N273" s="33">
        <f t="shared" si="56"/>
        <v>812.1800618584103</v>
      </c>
      <c r="O273" s="33">
        <f t="shared" si="57"/>
        <v>55637.92630906126</v>
      </c>
      <c r="P273" s="33">
        <f t="shared" si="58"/>
        <v>4729.223736270207</v>
      </c>
      <c r="Q273" s="33">
        <f t="shared" si="59"/>
        <v>13464.378166792823</v>
      </c>
      <c r="R273" s="33"/>
      <c r="S273" s="33">
        <f t="shared" si="60"/>
        <v>2480.235331951073</v>
      </c>
      <c r="T273" s="34">
        <f t="shared" si="64"/>
        <v>76311.76354407537</v>
      </c>
      <c r="V273" s="7"/>
    </row>
    <row r="274" spans="1:22" s="5" customFormat="1" ht="12.75" hidden="1">
      <c r="A274" s="30" t="s">
        <v>9</v>
      </c>
      <c r="B274" s="31" t="s">
        <v>79</v>
      </c>
      <c r="C274" s="31">
        <v>6</v>
      </c>
      <c r="D274" s="31" t="s">
        <v>31</v>
      </c>
      <c r="E274" s="32" t="s">
        <v>98</v>
      </c>
      <c r="F274" s="45" t="s">
        <v>99</v>
      </c>
      <c r="G274" s="45"/>
      <c r="H274" s="45"/>
      <c r="I274" s="33">
        <f t="shared" si="65"/>
        <v>17916.2952791587</v>
      </c>
      <c r="J274" s="33">
        <f t="shared" si="65"/>
        <v>8599.846833470507</v>
      </c>
      <c r="K274" s="33">
        <f t="shared" si="65"/>
        <v>9285.318125444133</v>
      </c>
      <c r="L274" s="33">
        <f t="shared" si="65"/>
        <v>0</v>
      </c>
      <c r="M274" s="33">
        <f t="shared" si="55"/>
        <v>2209.6785093857675</v>
      </c>
      <c r="N274" s="33">
        <f t="shared" si="56"/>
        <v>773.7765104536778</v>
      </c>
      <c r="O274" s="33">
        <f t="shared" si="57"/>
        <v>38784.91525791279</v>
      </c>
      <c r="P274" s="33">
        <f t="shared" si="58"/>
        <v>3296.7177969225872</v>
      </c>
      <c r="Q274" s="33">
        <f t="shared" si="59"/>
        <v>9385.949492414895</v>
      </c>
      <c r="R274" s="33">
        <f>(I274+J274)*18%*24.2%</f>
        <v>1155.0431504261282</v>
      </c>
      <c r="S274" s="33">
        <f t="shared" si="60"/>
        <v>1974.440556521848</v>
      </c>
      <c r="T274" s="34">
        <f t="shared" si="64"/>
        <v>54597.06625419825</v>
      </c>
      <c r="V274" s="7"/>
    </row>
    <row r="275" spans="1:22" s="5" customFormat="1" ht="12.75" hidden="1">
      <c r="A275" s="30" t="s">
        <v>9</v>
      </c>
      <c r="B275" s="31" t="s">
        <v>79</v>
      </c>
      <c r="C275" s="31">
        <v>6</v>
      </c>
      <c r="D275" s="31" t="s">
        <v>34</v>
      </c>
      <c r="E275" s="32" t="s">
        <v>100</v>
      </c>
      <c r="F275" s="45" t="s">
        <v>101</v>
      </c>
      <c r="G275" s="45"/>
      <c r="H275" s="45"/>
      <c r="I275" s="33">
        <f t="shared" si="65"/>
        <v>24613.92732205314</v>
      </c>
      <c r="J275" s="33">
        <f t="shared" si="65"/>
        <v>11814.6711704331</v>
      </c>
      <c r="K275" s="33">
        <f t="shared" si="65"/>
        <v>9746.160742300925</v>
      </c>
      <c r="L275" s="33">
        <f t="shared" si="65"/>
        <v>8609.410197994906</v>
      </c>
      <c r="M275" s="33">
        <f t="shared" si="55"/>
        <v>3035.71654104052</v>
      </c>
      <c r="N275" s="33">
        <f t="shared" si="56"/>
        <v>812.1800618584103</v>
      </c>
      <c r="O275" s="33">
        <f t="shared" si="57"/>
        <v>58632.066035681004</v>
      </c>
      <c r="P275" s="33">
        <f t="shared" si="58"/>
        <v>4983.725613032886</v>
      </c>
      <c r="Q275" s="33">
        <f t="shared" si="59"/>
        <v>14188.959980634803</v>
      </c>
      <c r="R275" s="33"/>
      <c r="S275" s="33">
        <f t="shared" si="60"/>
        <v>2601.4013485100704</v>
      </c>
      <c r="T275" s="34">
        <f t="shared" si="64"/>
        <v>80406.15297785876</v>
      </c>
      <c r="V275" s="7"/>
    </row>
    <row r="276" spans="1:22" s="5" customFormat="1" ht="12.75" hidden="1">
      <c r="A276" s="30" t="s">
        <v>9</v>
      </c>
      <c r="B276" s="31" t="s">
        <v>79</v>
      </c>
      <c r="C276" s="31">
        <v>7</v>
      </c>
      <c r="D276" s="31" t="s">
        <v>34</v>
      </c>
      <c r="E276" s="32" t="s">
        <v>102</v>
      </c>
      <c r="F276" s="45" t="s">
        <v>103</v>
      </c>
      <c r="G276" s="45"/>
      <c r="H276" s="45"/>
      <c r="I276" s="33">
        <f t="shared" si="65"/>
        <v>24613.92732205314</v>
      </c>
      <c r="J276" s="33">
        <f t="shared" si="65"/>
        <v>14000.405439782942</v>
      </c>
      <c r="K276" s="33">
        <f t="shared" si="65"/>
        <v>9746.160742300925</v>
      </c>
      <c r="L276" s="33">
        <f t="shared" si="65"/>
        <v>8609.410197994906</v>
      </c>
      <c r="M276" s="33">
        <f t="shared" si="55"/>
        <v>3217.86106348634</v>
      </c>
      <c r="N276" s="33">
        <f t="shared" si="56"/>
        <v>812.1800618584103</v>
      </c>
      <c r="O276" s="33">
        <f t="shared" si="57"/>
        <v>60999.94482747666</v>
      </c>
      <c r="P276" s="33">
        <f t="shared" si="58"/>
        <v>5184.9953103355165</v>
      </c>
      <c r="Q276" s="33">
        <f t="shared" si="59"/>
        <v>14761.98664824935</v>
      </c>
      <c r="R276" s="33"/>
      <c r="S276" s="33">
        <f t="shared" si="60"/>
        <v>2735.8968638840634</v>
      </c>
      <c r="T276" s="34">
        <f t="shared" si="64"/>
        <v>83682.8236499456</v>
      </c>
      <c r="V276" s="7"/>
    </row>
    <row r="277" spans="1:22" s="5" customFormat="1" ht="12.75" hidden="1">
      <c r="A277" s="30" t="s">
        <v>9</v>
      </c>
      <c r="B277" s="31" t="s">
        <v>79</v>
      </c>
      <c r="C277" s="31">
        <v>8</v>
      </c>
      <c r="D277" s="31" t="s">
        <v>34</v>
      </c>
      <c r="E277" s="32" t="s">
        <v>104</v>
      </c>
      <c r="F277" s="45" t="s">
        <v>105</v>
      </c>
      <c r="G277" s="45"/>
      <c r="H277" s="45"/>
      <c r="I277" s="33">
        <f t="shared" si="65"/>
        <v>24613.92732205314</v>
      </c>
      <c r="J277" s="33">
        <f t="shared" si="65"/>
        <v>16186.116468878776</v>
      </c>
      <c r="K277" s="33">
        <f t="shared" si="65"/>
        <v>9746.160742300925</v>
      </c>
      <c r="L277" s="33">
        <f t="shared" si="65"/>
        <v>8609.410197994906</v>
      </c>
      <c r="M277" s="33">
        <f t="shared" si="55"/>
        <v>3400.0036492443264</v>
      </c>
      <c r="N277" s="33">
        <f t="shared" si="56"/>
        <v>812.1800618584103</v>
      </c>
      <c r="O277" s="33">
        <f t="shared" si="57"/>
        <v>63367.79844233048</v>
      </c>
      <c r="P277" s="33">
        <f t="shared" si="58"/>
        <v>5386.262867598091</v>
      </c>
      <c r="Q277" s="33">
        <f t="shared" si="59"/>
        <v>15335.007223043975</v>
      </c>
      <c r="R277" s="33"/>
      <c r="S277" s="33">
        <f t="shared" si="60"/>
        <v>2870.39094920776</v>
      </c>
      <c r="T277" s="34">
        <f t="shared" si="64"/>
        <v>86959.4594821803</v>
      </c>
      <c r="V277" s="7"/>
    </row>
    <row r="278" spans="1:22" s="5" customFormat="1" ht="12.75" hidden="1">
      <c r="A278" s="30" t="s">
        <v>9</v>
      </c>
      <c r="B278" s="31" t="s">
        <v>79</v>
      </c>
      <c r="C278" s="31">
        <v>9</v>
      </c>
      <c r="D278" s="31" t="s">
        <v>34</v>
      </c>
      <c r="E278" s="32" t="s">
        <v>106</v>
      </c>
      <c r="F278" s="45" t="s">
        <v>107</v>
      </c>
      <c r="G278" s="45"/>
      <c r="H278" s="45"/>
      <c r="I278" s="33">
        <f t="shared" si="65"/>
        <v>24613.92732205314</v>
      </c>
      <c r="J278" s="33">
        <f t="shared" si="65"/>
        <v>18371.839118101612</v>
      </c>
      <c r="K278" s="33">
        <f t="shared" si="65"/>
        <v>9746.160742300925</v>
      </c>
      <c r="L278" s="33">
        <f t="shared" si="65"/>
        <v>8609.410197994906</v>
      </c>
      <c r="M278" s="33">
        <f t="shared" si="55"/>
        <v>3582.147203346229</v>
      </c>
      <c r="N278" s="33">
        <f t="shared" si="56"/>
        <v>812.1800618584103</v>
      </c>
      <c r="O278" s="33">
        <f t="shared" si="57"/>
        <v>65735.66464565523</v>
      </c>
      <c r="P278" s="33">
        <f t="shared" si="58"/>
        <v>5587.5314948806945</v>
      </c>
      <c r="Q278" s="33">
        <f t="shared" si="59"/>
        <v>15908.030844248564</v>
      </c>
      <c r="R278" s="33"/>
      <c r="S278" s="33">
        <f t="shared" si="60"/>
        <v>3004.8857495566053</v>
      </c>
      <c r="T278" s="34">
        <f t="shared" si="64"/>
        <v>90236.11273434109</v>
      </c>
      <c r="V278" s="7"/>
    </row>
    <row r="279" spans="1:22" s="5" customFormat="1" ht="12.75" hidden="1">
      <c r="A279" s="30" t="s">
        <v>9</v>
      </c>
      <c r="B279" s="31" t="s">
        <v>79</v>
      </c>
      <c r="C279" s="31">
        <v>10</v>
      </c>
      <c r="D279" s="31" t="s">
        <v>34</v>
      </c>
      <c r="E279" s="32" t="s">
        <v>108</v>
      </c>
      <c r="F279" s="45" t="s">
        <v>109</v>
      </c>
      <c r="G279" s="45"/>
      <c r="H279" s="45"/>
      <c r="I279" s="33">
        <f t="shared" si="65"/>
        <v>24613.92732205314</v>
      </c>
      <c r="J279" s="33">
        <f t="shared" si="65"/>
        <v>20557.550147197446</v>
      </c>
      <c r="K279" s="33">
        <f t="shared" si="65"/>
        <v>9746.160742300925</v>
      </c>
      <c r="L279" s="33">
        <f t="shared" si="65"/>
        <v>8609.410197994906</v>
      </c>
      <c r="M279" s="33">
        <f t="shared" si="55"/>
        <v>3764.2897891042157</v>
      </c>
      <c r="N279" s="33">
        <f t="shared" si="56"/>
        <v>812.1800618584103</v>
      </c>
      <c r="O279" s="33">
        <f t="shared" si="57"/>
        <v>68103.51826050904</v>
      </c>
      <c r="P279" s="33">
        <f t="shared" si="58"/>
        <v>5788.799052143268</v>
      </c>
      <c r="Q279" s="33">
        <f t="shared" si="59"/>
        <v>16481.051419043186</v>
      </c>
      <c r="R279" s="33"/>
      <c r="S279" s="33">
        <f t="shared" si="60"/>
        <v>3139.379834880303</v>
      </c>
      <c r="T279" s="34">
        <f t="shared" si="64"/>
        <v>93512.74856657578</v>
      </c>
      <c r="V279" s="7"/>
    </row>
    <row r="280" spans="1:22" s="5" customFormat="1" ht="12.75" hidden="1">
      <c r="A280" s="30" t="s">
        <v>9</v>
      </c>
      <c r="B280" s="31" t="s">
        <v>79</v>
      </c>
      <c r="C280" s="31">
        <v>11</v>
      </c>
      <c r="D280" s="31" t="s">
        <v>34</v>
      </c>
      <c r="E280" s="32" t="s">
        <v>110</v>
      </c>
      <c r="F280" s="45" t="s">
        <v>111</v>
      </c>
      <c r="G280" s="45"/>
      <c r="H280" s="45"/>
      <c r="I280" s="33">
        <f t="shared" si="65"/>
        <v>24613.92732205314</v>
      </c>
      <c r="J280" s="33">
        <f t="shared" si="65"/>
        <v>22743.272796420282</v>
      </c>
      <c r="K280" s="33">
        <f t="shared" si="65"/>
        <v>9746.160742300925</v>
      </c>
      <c r="L280" s="33">
        <f t="shared" si="65"/>
        <v>8609.410197994906</v>
      </c>
      <c r="M280" s="33">
        <f t="shared" si="55"/>
        <v>3946.433343206119</v>
      </c>
      <c r="N280" s="33">
        <f t="shared" si="56"/>
        <v>812.1800618584103</v>
      </c>
      <c r="O280" s="33">
        <f t="shared" si="57"/>
        <v>70471.38446383379</v>
      </c>
      <c r="P280" s="33">
        <f t="shared" si="58"/>
        <v>5990.0676794258725</v>
      </c>
      <c r="Q280" s="33">
        <f t="shared" si="59"/>
        <v>17054.07504024778</v>
      </c>
      <c r="R280" s="33"/>
      <c r="S280" s="33">
        <f t="shared" si="60"/>
        <v>3273.874635229148</v>
      </c>
      <c r="T280" s="34">
        <f t="shared" si="64"/>
        <v>96789.4018187366</v>
      </c>
      <c r="V280" s="7"/>
    </row>
    <row r="281" spans="1:22" s="5" customFormat="1" ht="12.75" hidden="1">
      <c r="A281" s="30" t="s">
        <v>9</v>
      </c>
      <c r="B281" s="31" t="s">
        <v>79</v>
      </c>
      <c r="C281" s="31">
        <v>12</v>
      </c>
      <c r="D281" s="31" t="s">
        <v>34</v>
      </c>
      <c r="E281" s="32" t="s">
        <v>112</v>
      </c>
      <c r="F281" s="45" t="s">
        <v>113</v>
      </c>
      <c r="G281" s="45"/>
      <c r="H281" s="45"/>
      <c r="I281" s="33">
        <f t="shared" si="65"/>
        <v>24613.92732205314</v>
      </c>
      <c r="J281" s="33">
        <f t="shared" si="65"/>
        <v>24928.983825516112</v>
      </c>
      <c r="K281" s="33">
        <f t="shared" si="65"/>
        <v>9746.160742300925</v>
      </c>
      <c r="L281" s="33">
        <f t="shared" si="65"/>
        <v>8609.410197994906</v>
      </c>
      <c r="M281" s="33">
        <f t="shared" si="55"/>
        <v>4128.575928964104</v>
      </c>
      <c r="N281" s="33">
        <f t="shared" si="56"/>
        <v>812.1800618584103</v>
      </c>
      <c r="O281" s="33">
        <f t="shared" si="57"/>
        <v>72839.23807868759</v>
      </c>
      <c r="P281" s="33">
        <f t="shared" si="58"/>
        <v>6191.335236688445</v>
      </c>
      <c r="Q281" s="33">
        <f t="shared" si="59"/>
        <v>17627.095615042395</v>
      </c>
      <c r="R281" s="33">
        <v>74.53</v>
      </c>
      <c r="S281" s="33">
        <f t="shared" si="60"/>
        <v>3408.368720552845</v>
      </c>
      <c r="T281" s="34">
        <f t="shared" si="64"/>
        <v>100140.56765097128</v>
      </c>
      <c r="V281" s="7"/>
    </row>
    <row r="282" spans="1:22" s="5" customFormat="1" ht="12.75" hidden="1">
      <c r="A282" s="30" t="s">
        <v>9</v>
      </c>
      <c r="B282" s="31" t="s">
        <v>79</v>
      </c>
      <c r="C282" s="31">
        <v>13</v>
      </c>
      <c r="D282" s="31" t="s">
        <v>34</v>
      </c>
      <c r="E282" s="32" t="s">
        <v>114</v>
      </c>
      <c r="F282" s="45" t="s">
        <v>115</v>
      </c>
      <c r="G282" s="45"/>
      <c r="H282" s="45"/>
      <c r="I282" s="33">
        <f t="shared" si="65"/>
        <v>24613.92732205314</v>
      </c>
      <c r="J282" s="33">
        <f t="shared" si="65"/>
        <v>27114.70647473895</v>
      </c>
      <c r="K282" s="33">
        <f t="shared" si="65"/>
        <v>9746.160742300925</v>
      </c>
      <c r="L282" s="33">
        <f t="shared" si="65"/>
        <v>8609.410197994906</v>
      </c>
      <c r="M282" s="33">
        <f t="shared" si="55"/>
        <v>4310.719483066007</v>
      </c>
      <c r="N282" s="33">
        <f t="shared" si="56"/>
        <v>812.1800618584103</v>
      </c>
      <c r="O282" s="33">
        <f t="shared" si="57"/>
        <v>75207.10428201233</v>
      </c>
      <c r="P282" s="33">
        <f t="shared" si="58"/>
        <v>6392.603863971047</v>
      </c>
      <c r="Q282" s="33">
        <f t="shared" si="59"/>
        <v>18200.119236246985</v>
      </c>
      <c r="R282" s="33">
        <v>169.82</v>
      </c>
      <c r="S282" s="33">
        <f t="shared" si="60"/>
        <v>3542.8635209016893</v>
      </c>
      <c r="T282" s="34">
        <f t="shared" si="64"/>
        <v>103512.51090313206</v>
      </c>
      <c r="V282" s="7"/>
    </row>
    <row r="283" spans="1:22" s="5" customFormat="1" ht="13.5" hidden="1" thickBot="1">
      <c r="A283" s="35" t="s">
        <v>9</v>
      </c>
      <c r="B283" s="36" t="s">
        <v>79</v>
      </c>
      <c r="C283" s="36">
        <v>14</v>
      </c>
      <c r="D283" s="36" t="s">
        <v>34</v>
      </c>
      <c r="E283" s="37" t="s">
        <v>116</v>
      </c>
      <c r="F283" s="46" t="s">
        <v>117</v>
      </c>
      <c r="G283" s="46"/>
      <c r="H283" s="46"/>
      <c r="I283" s="38">
        <f t="shared" si="65"/>
        <v>24613.92732205314</v>
      </c>
      <c r="J283" s="38">
        <f t="shared" si="65"/>
        <v>29300.417503834782</v>
      </c>
      <c r="K283" s="38">
        <f t="shared" si="65"/>
        <v>9746.160742300925</v>
      </c>
      <c r="L283" s="38">
        <f t="shared" si="65"/>
        <v>8609.410197994906</v>
      </c>
      <c r="M283" s="38">
        <f t="shared" si="55"/>
        <v>4492.8620688239935</v>
      </c>
      <c r="N283" s="38">
        <f t="shared" si="56"/>
        <v>812.1800618584103</v>
      </c>
      <c r="O283" s="38">
        <f t="shared" si="57"/>
        <v>77574.95789686615</v>
      </c>
      <c r="P283" s="38">
        <f t="shared" si="58"/>
        <v>6593.871421233623</v>
      </c>
      <c r="Q283" s="38">
        <f t="shared" si="59"/>
        <v>18773.13981104161</v>
      </c>
      <c r="R283" s="38">
        <v>265.03</v>
      </c>
      <c r="S283" s="38">
        <f t="shared" si="60"/>
        <v>3677.357606225387</v>
      </c>
      <c r="T283" s="39">
        <f t="shared" si="64"/>
        <v>106884.35673536676</v>
      </c>
      <c r="V283" s="7"/>
    </row>
    <row r="284" spans="1:22" s="5" customFormat="1" ht="12.75" hidden="1">
      <c r="A284" s="40" t="s">
        <v>8</v>
      </c>
      <c r="B284" s="41" t="s">
        <v>118</v>
      </c>
      <c r="C284" s="41" t="s">
        <v>119</v>
      </c>
      <c r="D284" s="41"/>
      <c r="E284" s="42" t="s">
        <v>120</v>
      </c>
      <c r="F284" s="48" t="s">
        <v>121</v>
      </c>
      <c r="G284" s="48"/>
      <c r="H284" s="48"/>
      <c r="I284" s="33">
        <f t="shared" si="65"/>
        <v>11955.40252858012</v>
      </c>
      <c r="J284" s="33">
        <f t="shared" si="65"/>
        <v>0</v>
      </c>
      <c r="K284" s="33">
        <f t="shared" si="65"/>
        <v>8870.27042911062</v>
      </c>
      <c r="L284" s="33">
        <f t="shared" si="65"/>
        <v>0</v>
      </c>
      <c r="M284" s="43">
        <f t="shared" si="55"/>
        <v>996.2835440483433</v>
      </c>
      <c r="N284" s="43">
        <f t="shared" si="56"/>
        <v>739.189202425885</v>
      </c>
      <c r="O284" s="43">
        <f t="shared" si="57"/>
        <v>22561.145704164966</v>
      </c>
      <c r="P284" s="43">
        <f t="shared" si="58"/>
        <v>1917.6973848540222</v>
      </c>
      <c r="Q284" s="43">
        <f t="shared" si="59"/>
        <v>5459.797260407922</v>
      </c>
      <c r="R284" s="33">
        <f>(I284+J284)*18%*24.2%</f>
        <v>520.77733414495</v>
      </c>
      <c r="S284" s="43">
        <f t="shared" si="60"/>
        <v>1063.1461531680607</v>
      </c>
      <c r="T284" s="44">
        <f t="shared" si="64"/>
        <v>31522.563836739922</v>
      </c>
      <c r="V284" s="7"/>
    </row>
    <row r="285" spans="1:22" s="5" customFormat="1" ht="12.75" hidden="1">
      <c r="A285" s="30" t="s">
        <v>8</v>
      </c>
      <c r="B285" s="31" t="s">
        <v>118</v>
      </c>
      <c r="C285" s="31" t="s">
        <v>122</v>
      </c>
      <c r="D285" s="31"/>
      <c r="E285" s="32" t="s">
        <v>120</v>
      </c>
      <c r="F285" s="45"/>
      <c r="G285" s="45"/>
      <c r="H285" s="45"/>
      <c r="I285" s="33">
        <f aca="true" t="shared" si="66" ref="I285:L300">I208*1.0177</f>
        <v>15917.012919666331</v>
      </c>
      <c r="J285" s="33">
        <f t="shared" si="66"/>
        <v>0</v>
      </c>
      <c r="K285" s="33">
        <f t="shared" si="66"/>
        <v>6731.983462344044</v>
      </c>
      <c r="L285" s="33">
        <f t="shared" si="66"/>
        <v>3615.9522831578615</v>
      </c>
      <c r="M285" s="33">
        <f t="shared" si="55"/>
        <v>1326.4177433055277</v>
      </c>
      <c r="N285" s="33">
        <f t="shared" si="56"/>
        <v>560.9986218620037</v>
      </c>
      <c r="O285" s="33">
        <f t="shared" si="57"/>
        <v>28152.365030335764</v>
      </c>
      <c r="P285" s="33">
        <f t="shared" si="58"/>
        <v>2392.95102757854</v>
      </c>
      <c r="Q285" s="33">
        <f t="shared" si="59"/>
        <v>6812.872337341255</v>
      </c>
      <c r="R285" s="33"/>
      <c r="S285" s="33">
        <f t="shared" si="60"/>
        <v>1227.9716910865436</v>
      </c>
      <c r="T285" s="34">
        <f t="shared" si="64"/>
        <v>38586.160086342104</v>
      </c>
      <c r="V285" s="7"/>
    </row>
    <row r="286" spans="1:22" s="5" customFormat="1" ht="12.75" hidden="1">
      <c r="A286" s="30" t="s">
        <v>8</v>
      </c>
      <c r="B286" s="31" t="s">
        <v>123</v>
      </c>
      <c r="C286" s="31">
        <v>0</v>
      </c>
      <c r="D286" s="31" t="s">
        <v>31</v>
      </c>
      <c r="E286" s="32" t="s">
        <v>124</v>
      </c>
      <c r="F286" s="45" t="s">
        <v>125</v>
      </c>
      <c r="G286" s="45"/>
      <c r="H286" s="45"/>
      <c r="I286" s="33">
        <f t="shared" si="66"/>
        <v>12893.065436924378</v>
      </c>
      <c r="J286" s="33">
        <f t="shared" si="66"/>
        <v>0</v>
      </c>
      <c r="K286" s="33">
        <f t="shared" si="66"/>
        <v>8953.168415158083</v>
      </c>
      <c r="L286" s="33">
        <f t="shared" si="66"/>
        <v>0</v>
      </c>
      <c r="M286" s="33">
        <f t="shared" si="55"/>
        <v>1074.4221197436982</v>
      </c>
      <c r="N286" s="33">
        <f t="shared" si="56"/>
        <v>746.0973679298403</v>
      </c>
      <c r="O286" s="33">
        <f t="shared" si="57"/>
        <v>23666.753339756004</v>
      </c>
      <c r="P286" s="33">
        <f t="shared" si="58"/>
        <v>2011.6740338792602</v>
      </c>
      <c r="Q286" s="33">
        <f t="shared" si="59"/>
        <v>5727.354308220953</v>
      </c>
      <c r="R286" s="33">
        <f>(I286+J286)*18%*24.2%</f>
        <v>561.6219304324259</v>
      </c>
      <c r="S286" s="33">
        <f t="shared" si="60"/>
        <v>1123.904271106383</v>
      </c>
      <c r="T286" s="34">
        <f t="shared" si="64"/>
        <v>33091.30788339502</v>
      </c>
      <c r="V286" s="7"/>
    </row>
    <row r="287" spans="1:22" s="5" customFormat="1" ht="12.75" hidden="1">
      <c r="A287" s="30" t="s">
        <v>8</v>
      </c>
      <c r="B287" s="31" t="s">
        <v>123</v>
      </c>
      <c r="C287" s="31">
        <v>0</v>
      </c>
      <c r="D287" s="31" t="s">
        <v>34</v>
      </c>
      <c r="E287" s="32" t="s">
        <v>126</v>
      </c>
      <c r="F287" s="45" t="s">
        <v>127</v>
      </c>
      <c r="G287" s="45"/>
      <c r="H287" s="45"/>
      <c r="I287" s="33">
        <f t="shared" si="66"/>
        <v>17581.414839026682</v>
      </c>
      <c r="J287" s="33">
        <f t="shared" si="66"/>
        <v>0</v>
      </c>
      <c r="K287" s="33">
        <f t="shared" si="66"/>
        <v>9193.565602619525</v>
      </c>
      <c r="L287" s="33">
        <f t="shared" si="66"/>
        <v>3615.9511211451604</v>
      </c>
      <c r="M287" s="33">
        <f t="shared" si="55"/>
        <v>1465.1179032522234</v>
      </c>
      <c r="N287" s="33">
        <f t="shared" si="56"/>
        <v>766.1304668849604</v>
      </c>
      <c r="O287" s="33">
        <f t="shared" si="57"/>
        <v>32622.17993292855</v>
      </c>
      <c r="P287" s="33">
        <f t="shared" si="58"/>
        <v>2772.8852942989265</v>
      </c>
      <c r="Q287" s="33">
        <f t="shared" si="59"/>
        <v>7894.56754376871</v>
      </c>
      <c r="R287" s="33"/>
      <c r="S287" s="33">
        <f t="shared" si="60"/>
        <v>1421.2695018101545</v>
      </c>
      <c r="T287" s="34">
        <f t="shared" si="64"/>
        <v>44710.902272806336</v>
      </c>
      <c r="V287" s="7"/>
    </row>
    <row r="288" spans="1:22" s="5" customFormat="1" ht="12.75" hidden="1">
      <c r="A288" s="30" t="s">
        <v>8</v>
      </c>
      <c r="B288" s="31" t="s">
        <v>123</v>
      </c>
      <c r="C288" s="31">
        <v>1</v>
      </c>
      <c r="D288" s="31" t="s">
        <v>31</v>
      </c>
      <c r="E288" s="32" t="s">
        <v>128</v>
      </c>
      <c r="F288" s="45"/>
      <c r="G288" s="45"/>
      <c r="H288" s="45"/>
      <c r="I288" s="33">
        <f t="shared" si="66"/>
        <v>12893.065436924378</v>
      </c>
      <c r="J288" s="33">
        <f t="shared" si="66"/>
        <v>1031.4489533945916</v>
      </c>
      <c r="K288" s="33">
        <f t="shared" si="66"/>
        <v>8953.168415158083</v>
      </c>
      <c r="L288" s="33">
        <f t="shared" si="66"/>
        <v>0</v>
      </c>
      <c r="M288" s="33">
        <f t="shared" si="55"/>
        <v>1160.3761991932477</v>
      </c>
      <c r="N288" s="33">
        <f t="shared" si="56"/>
        <v>746.0973679298403</v>
      </c>
      <c r="O288" s="33">
        <f t="shared" si="57"/>
        <v>24784.15637260014</v>
      </c>
      <c r="P288" s="33">
        <f t="shared" si="58"/>
        <v>2106.6532916710116</v>
      </c>
      <c r="Q288" s="33">
        <f t="shared" si="59"/>
        <v>5997.765842169233</v>
      </c>
      <c r="R288" s="33">
        <f>(I288+J288)*18%*24.2%</f>
        <v>606.5518468422944</v>
      </c>
      <c r="S288" s="33">
        <f t="shared" si="60"/>
        <v>1187.3727633719304</v>
      </c>
      <c r="T288" s="34">
        <f t="shared" si="64"/>
        <v>34682.50011665461</v>
      </c>
      <c r="V288" s="7"/>
    </row>
    <row r="289" spans="1:22" s="5" customFormat="1" ht="12.75" hidden="1">
      <c r="A289" s="30" t="s">
        <v>8</v>
      </c>
      <c r="B289" s="31" t="s">
        <v>123</v>
      </c>
      <c r="C289" s="31">
        <v>1</v>
      </c>
      <c r="D289" s="31" t="s">
        <v>34</v>
      </c>
      <c r="E289" s="32" t="s">
        <v>129</v>
      </c>
      <c r="F289" s="45" t="s">
        <v>130</v>
      </c>
      <c r="G289" s="45"/>
      <c r="H289" s="45"/>
      <c r="I289" s="33">
        <f t="shared" si="66"/>
        <v>17581.414839026682</v>
      </c>
      <c r="J289" s="33">
        <f t="shared" si="66"/>
        <v>1406.5117927068943</v>
      </c>
      <c r="K289" s="33">
        <f t="shared" si="66"/>
        <v>9193.565602619525</v>
      </c>
      <c r="L289" s="33">
        <f t="shared" si="66"/>
        <v>4218.605767960352</v>
      </c>
      <c r="M289" s="33">
        <f t="shared" si="55"/>
        <v>1582.3272193111313</v>
      </c>
      <c r="N289" s="33">
        <f t="shared" si="56"/>
        <v>766.1304668849604</v>
      </c>
      <c r="O289" s="33">
        <f t="shared" si="57"/>
        <v>34748.55568850954</v>
      </c>
      <c r="P289" s="33">
        <f t="shared" si="58"/>
        <v>2953.6272335233107</v>
      </c>
      <c r="Q289" s="33">
        <f t="shared" si="59"/>
        <v>8409.150476619308</v>
      </c>
      <c r="R289" s="33"/>
      <c r="S289" s="33">
        <f t="shared" si="60"/>
        <v>1507.816860788052</v>
      </c>
      <c r="T289" s="34">
        <f t="shared" si="64"/>
        <v>47619.15025944021</v>
      </c>
      <c r="V289" s="7"/>
    </row>
    <row r="290" spans="1:22" s="5" customFormat="1" ht="12.75" hidden="1">
      <c r="A290" s="30" t="s">
        <v>8</v>
      </c>
      <c r="B290" s="31" t="s">
        <v>123</v>
      </c>
      <c r="C290" s="31">
        <v>2</v>
      </c>
      <c r="D290" s="31" t="s">
        <v>31</v>
      </c>
      <c r="E290" s="32" t="s">
        <v>131</v>
      </c>
      <c r="F290" s="45"/>
      <c r="G290" s="45"/>
      <c r="H290" s="45"/>
      <c r="I290" s="33">
        <f t="shared" si="66"/>
        <v>12893.065436924378</v>
      </c>
      <c r="J290" s="33">
        <f t="shared" si="66"/>
        <v>2062.8979067891833</v>
      </c>
      <c r="K290" s="33">
        <f t="shared" si="66"/>
        <v>8953.168415158083</v>
      </c>
      <c r="L290" s="33">
        <f t="shared" si="66"/>
        <v>0</v>
      </c>
      <c r="M290" s="33">
        <f t="shared" si="55"/>
        <v>1246.3302786427969</v>
      </c>
      <c r="N290" s="33">
        <f t="shared" si="56"/>
        <v>746.0973679298403</v>
      </c>
      <c r="O290" s="33">
        <f t="shared" si="57"/>
        <v>25901.55940544428</v>
      </c>
      <c r="P290" s="33">
        <f t="shared" si="58"/>
        <v>2201.632549462764</v>
      </c>
      <c r="Q290" s="33">
        <f t="shared" si="59"/>
        <v>6268.177376117515</v>
      </c>
      <c r="R290" s="33">
        <f>(I290+J290)*18%*24.2%</f>
        <v>651.4817632521628</v>
      </c>
      <c r="S290" s="33">
        <f t="shared" si="60"/>
        <v>1250.8412556374776</v>
      </c>
      <c r="T290" s="34">
        <f t="shared" si="64"/>
        <v>36273.6923499142</v>
      </c>
      <c r="V290" s="7"/>
    </row>
    <row r="291" spans="1:22" s="5" customFormat="1" ht="12.75" hidden="1">
      <c r="A291" s="30" t="s">
        <v>8</v>
      </c>
      <c r="B291" s="31" t="s">
        <v>123</v>
      </c>
      <c r="C291" s="31">
        <v>2</v>
      </c>
      <c r="D291" s="31" t="s">
        <v>34</v>
      </c>
      <c r="E291" s="32" t="s">
        <v>132</v>
      </c>
      <c r="F291" s="45" t="s">
        <v>133</v>
      </c>
      <c r="G291" s="45"/>
      <c r="H291" s="45"/>
      <c r="I291" s="33">
        <f t="shared" si="66"/>
        <v>17581.414839026682</v>
      </c>
      <c r="J291" s="33">
        <f t="shared" si="66"/>
        <v>2813.0235854137886</v>
      </c>
      <c r="K291" s="33">
        <f t="shared" si="66"/>
        <v>9193.565602619525</v>
      </c>
      <c r="L291" s="33">
        <f t="shared" si="66"/>
        <v>4218.605767960352</v>
      </c>
      <c r="M291" s="33">
        <f t="shared" si="55"/>
        <v>1699.5365353700392</v>
      </c>
      <c r="N291" s="33">
        <f t="shared" si="56"/>
        <v>766.1304668849604</v>
      </c>
      <c r="O291" s="33">
        <f t="shared" si="57"/>
        <v>36272.27679727535</v>
      </c>
      <c r="P291" s="33">
        <f t="shared" si="58"/>
        <v>3083.1435277684045</v>
      </c>
      <c r="Q291" s="33">
        <f t="shared" si="59"/>
        <v>8777.890984940635</v>
      </c>
      <c r="R291" s="33"/>
      <c r="S291" s="33">
        <f t="shared" si="60"/>
        <v>1594.3642197659497</v>
      </c>
      <c r="T291" s="34">
        <f t="shared" si="64"/>
        <v>49727.67552975034</v>
      </c>
      <c r="V291" s="7"/>
    </row>
    <row r="292" spans="1:22" s="5" customFormat="1" ht="12.75" hidden="1">
      <c r="A292" s="30" t="s">
        <v>8</v>
      </c>
      <c r="B292" s="31" t="s">
        <v>123</v>
      </c>
      <c r="C292" s="31">
        <v>3</v>
      </c>
      <c r="D292" s="31" t="s">
        <v>31</v>
      </c>
      <c r="E292" s="32" t="s">
        <v>134</v>
      </c>
      <c r="F292" s="45"/>
      <c r="G292" s="45"/>
      <c r="H292" s="45"/>
      <c r="I292" s="33">
        <f t="shared" si="66"/>
        <v>12893.065436924378</v>
      </c>
      <c r="J292" s="33">
        <f t="shared" si="66"/>
        <v>3094.3468601837744</v>
      </c>
      <c r="K292" s="33">
        <f t="shared" si="66"/>
        <v>8953.168415158083</v>
      </c>
      <c r="L292" s="33">
        <f t="shared" si="66"/>
        <v>0</v>
      </c>
      <c r="M292" s="33">
        <f t="shared" si="55"/>
        <v>1332.284358092346</v>
      </c>
      <c r="N292" s="33">
        <f t="shared" si="56"/>
        <v>746.0973679298403</v>
      </c>
      <c r="O292" s="33">
        <f t="shared" si="57"/>
        <v>27018.962438288425</v>
      </c>
      <c r="P292" s="33">
        <f t="shared" si="58"/>
        <v>2296.611807254516</v>
      </c>
      <c r="Q292" s="33">
        <f t="shared" si="59"/>
        <v>6538.588910065799</v>
      </c>
      <c r="R292" s="33">
        <f>(I292+J292)*18%*24.2%</f>
        <v>696.411679662031</v>
      </c>
      <c r="S292" s="33">
        <f t="shared" si="60"/>
        <v>1314.3097479030248</v>
      </c>
      <c r="T292" s="34">
        <f t="shared" si="64"/>
        <v>37864.88458317379</v>
      </c>
      <c r="V292" s="7"/>
    </row>
    <row r="293" spans="1:22" s="5" customFormat="1" ht="12.75" hidden="1">
      <c r="A293" s="30" t="s">
        <v>8</v>
      </c>
      <c r="B293" s="31" t="s">
        <v>123</v>
      </c>
      <c r="C293" s="31">
        <v>3</v>
      </c>
      <c r="D293" s="31" t="s">
        <v>34</v>
      </c>
      <c r="E293" s="32" t="s">
        <v>135</v>
      </c>
      <c r="F293" s="45" t="s">
        <v>136</v>
      </c>
      <c r="G293" s="45"/>
      <c r="H293" s="45"/>
      <c r="I293" s="33">
        <f t="shared" si="66"/>
        <v>17581.414839026682</v>
      </c>
      <c r="J293" s="33">
        <f t="shared" si="66"/>
        <v>4219.535378120683</v>
      </c>
      <c r="K293" s="33">
        <f t="shared" si="66"/>
        <v>9193.565602619525</v>
      </c>
      <c r="L293" s="33">
        <f t="shared" si="66"/>
        <v>4821.2720349025485</v>
      </c>
      <c r="M293" s="33">
        <f t="shared" si="55"/>
        <v>1816.7458514289472</v>
      </c>
      <c r="N293" s="33">
        <f t="shared" si="56"/>
        <v>766.1304668849604</v>
      </c>
      <c r="O293" s="33">
        <f t="shared" si="57"/>
        <v>38398.66417298335</v>
      </c>
      <c r="P293" s="33">
        <f t="shared" si="58"/>
        <v>3263.886454703585</v>
      </c>
      <c r="Q293" s="33">
        <f t="shared" si="59"/>
        <v>9292.47672986197</v>
      </c>
      <c r="R293" s="33"/>
      <c r="S293" s="33">
        <f t="shared" si="60"/>
        <v>1680.9115787438473</v>
      </c>
      <c r="T293" s="34">
        <f t="shared" si="64"/>
        <v>52635.938936292754</v>
      </c>
      <c r="V293" s="7"/>
    </row>
    <row r="294" spans="1:22" s="5" customFormat="1" ht="12.75" hidden="1">
      <c r="A294" s="30" t="s">
        <v>8</v>
      </c>
      <c r="B294" s="31" t="s">
        <v>123</v>
      </c>
      <c r="C294" s="31">
        <v>4</v>
      </c>
      <c r="D294" s="31" t="s">
        <v>31</v>
      </c>
      <c r="E294" s="32" t="s">
        <v>137</v>
      </c>
      <c r="F294" s="45" t="s">
        <v>138</v>
      </c>
      <c r="G294" s="45"/>
      <c r="H294" s="45"/>
      <c r="I294" s="33">
        <f t="shared" si="66"/>
        <v>12893.065436924378</v>
      </c>
      <c r="J294" s="33">
        <f t="shared" si="66"/>
        <v>4125.7958135783665</v>
      </c>
      <c r="K294" s="33">
        <f t="shared" si="66"/>
        <v>8953.168415158083</v>
      </c>
      <c r="L294" s="33">
        <f t="shared" si="66"/>
        <v>0</v>
      </c>
      <c r="M294" s="33">
        <f t="shared" si="55"/>
        <v>1418.2384375418953</v>
      </c>
      <c r="N294" s="33">
        <f t="shared" si="56"/>
        <v>746.0973679298403</v>
      </c>
      <c r="O294" s="33">
        <f t="shared" si="57"/>
        <v>28136.36547113256</v>
      </c>
      <c r="P294" s="33">
        <f t="shared" si="58"/>
        <v>2391.591065046268</v>
      </c>
      <c r="Q294" s="33">
        <f t="shared" si="59"/>
        <v>6809.000444014079</v>
      </c>
      <c r="R294" s="33">
        <f>(I294+J294)*18%*24.2%</f>
        <v>741.3415960718995</v>
      </c>
      <c r="S294" s="33">
        <f t="shared" si="60"/>
        <v>1377.778240168572</v>
      </c>
      <c r="T294" s="34">
        <f t="shared" si="64"/>
        <v>39456.07681643338</v>
      </c>
      <c r="V294" s="7"/>
    </row>
    <row r="295" spans="1:22" s="5" customFormat="1" ht="12.75" hidden="1">
      <c r="A295" s="30" t="s">
        <v>8</v>
      </c>
      <c r="B295" s="31" t="s">
        <v>123</v>
      </c>
      <c r="C295" s="31">
        <v>4</v>
      </c>
      <c r="D295" s="31" t="s">
        <v>34</v>
      </c>
      <c r="E295" s="32" t="s">
        <v>139</v>
      </c>
      <c r="F295" s="45" t="s">
        <v>140</v>
      </c>
      <c r="G295" s="45"/>
      <c r="H295" s="45"/>
      <c r="I295" s="33">
        <f t="shared" si="66"/>
        <v>17581.414839026682</v>
      </c>
      <c r="J295" s="33">
        <f t="shared" si="66"/>
        <v>5626.047170827577</v>
      </c>
      <c r="K295" s="33">
        <f t="shared" si="66"/>
        <v>9193.565602619525</v>
      </c>
      <c r="L295" s="33">
        <f t="shared" si="66"/>
        <v>4821.2720349025485</v>
      </c>
      <c r="M295" s="33">
        <f t="shared" si="55"/>
        <v>1933.9551674878549</v>
      </c>
      <c r="N295" s="33">
        <f t="shared" si="56"/>
        <v>766.1304668849604</v>
      </c>
      <c r="O295" s="33">
        <f t="shared" si="57"/>
        <v>39922.38528174915</v>
      </c>
      <c r="P295" s="33">
        <f t="shared" si="58"/>
        <v>3393.402748948678</v>
      </c>
      <c r="Q295" s="33">
        <f t="shared" si="59"/>
        <v>9661.217238183293</v>
      </c>
      <c r="R295" s="33"/>
      <c r="S295" s="33">
        <f t="shared" si="60"/>
        <v>1767.4589377217449</v>
      </c>
      <c r="T295" s="34">
        <f t="shared" si="64"/>
        <v>54744.46420660286</v>
      </c>
      <c r="V295" s="7"/>
    </row>
    <row r="296" spans="1:22" s="5" customFormat="1" ht="12.75" hidden="1">
      <c r="A296" s="30" t="s">
        <v>8</v>
      </c>
      <c r="B296" s="31" t="s">
        <v>123</v>
      </c>
      <c r="C296" s="31">
        <v>5</v>
      </c>
      <c r="D296" s="31" t="s">
        <v>31</v>
      </c>
      <c r="E296" s="32" t="s">
        <v>141</v>
      </c>
      <c r="F296" s="45"/>
      <c r="G296" s="45"/>
      <c r="H296" s="45"/>
      <c r="I296" s="33">
        <f t="shared" si="66"/>
        <v>12893.065436924378</v>
      </c>
      <c r="J296" s="33">
        <f t="shared" si="66"/>
        <v>5157.244766972957</v>
      </c>
      <c r="K296" s="33">
        <f t="shared" si="66"/>
        <v>8953.168415158083</v>
      </c>
      <c r="L296" s="33">
        <f t="shared" si="66"/>
        <v>0</v>
      </c>
      <c r="M296" s="33">
        <f t="shared" si="55"/>
        <v>1504.1925169914448</v>
      </c>
      <c r="N296" s="33">
        <f t="shared" si="56"/>
        <v>746.0973679298403</v>
      </c>
      <c r="O296" s="33">
        <f t="shared" si="57"/>
        <v>29253.76850397671</v>
      </c>
      <c r="P296" s="33">
        <f t="shared" si="58"/>
        <v>2486.5703228380203</v>
      </c>
      <c r="Q296" s="33">
        <f t="shared" si="59"/>
        <v>7079.411977962363</v>
      </c>
      <c r="R296" s="33">
        <f>(I296+J296)*18%*24.2%</f>
        <v>786.2715124817679</v>
      </c>
      <c r="S296" s="33">
        <f t="shared" si="60"/>
        <v>1441.2467324341194</v>
      </c>
      <c r="T296" s="34">
        <f t="shared" si="64"/>
        <v>41047.26904969298</v>
      </c>
      <c r="V296" s="7"/>
    </row>
    <row r="297" spans="1:22" s="5" customFormat="1" ht="12.75" hidden="1">
      <c r="A297" s="30" t="s">
        <v>8</v>
      </c>
      <c r="B297" s="31" t="s">
        <v>123</v>
      </c>
      <c r="C297" s="31">
        <v>5</v>
      </c>
      <c r="D297" s="31" t="s">
        <v>34</v>
      </c>
      <c r="E297" s="32" t="s">
        <v>142</v>
      </c>
      <c r="F297" s="45" t="s">
        <v>143</v>
      </c>
      <c r="G297" s="45"/>
      <c r="H297" s="45"/>
      <c r="I297" s="33">
        <f t="shared" si="66"/>
        <v>17581.414839026682</v>
      </c>
      <c r="J297" s="33">
        <f t="shared" si="66"/>
        <v>7032.558963534472</v>
      </c>
      <c r="K297" s="33">
        <f t="shared" si="66"/>
        <v>9193.565602619525</v>
      </c>
      <c r="L297" s="33">
        <f t="shared" si="66"/>
        <v>5423.9266817177395</v>
      </c>
      <c r="M297" s="33">
        <f t="shared" si="55"/>
        <v>2051.1644835467628</v>
      </c>
      <c r="N297" s="33">
        <f t="shared" si="56"/>
        <v>766.1304668849604</v>
      </c>
      <c r="O297" s="33">
        <f t="shared" si="57"/>
        <v>42048.76103733014</v>
      </c>
      <c r="P297" s="33">
        <f t="shared" si="58"/>
        <v>3574.144688173062</v>
      </c>
      <c r="Q297" s="33">
        <f t="shared" si="59"/>
        <v>10175.800171033894</v>
      </c>
      <c r="R297" s="33"/>
      <c r="S297" s="33">
        <f t="shared" si="60"/>
        <v>1854.0062966996425</v>
      </c>
      <c r="T297" s="34">
        <f t="shared" si="64"/>
        <v>57652.71219323674</v>
      </c>
      <c r="V297" s="7"/>
    </row>
    <row r="298" spans="1:22" s="5" customFormat="1" ht="12.75" hidden="1">
      <c r="A298" s="30" t="s">
        <v>8</v>
      </c>
      <c r="B298" s="31" t="s">
        <v>123</v>
      </c>
      <c r="C298" s="31">
        <v>6</v>
      </c>
      <c r="D298" s="31" t="s">
        <v>31</v>
      </c>
      <c r="E298" s="32" t="s">
        <v>144</v>
      </c>
      <c r="F298" s="45" t="s">
        <v>145</v>
      </c>
      <c r="G298" s="45"/>
      <c r="H298" s="45"/>
      <c r="I298" s="33">
        <f t="shared" si="66"/>
        <v>12893.065436924378</v>
      </c>
      <c r="J298" s="33">
        <f t="shared" si="66"/>
        <v>6188.693720367549</v>
      </c>
      <c r="K298" s="33">
        <f t="shared" si="66"/>
        <v>8953.168415158083</v>
      </c>
      <c r="L298" s="33">
        <f t="shared" si="66"/>
        <v>0</v>
      </c>
      <c r="M298" s="33">
        <f t="shared" si="55"/>
        <v>1590.1465964409938</v>
      </c>
      <c r="N298" s="33">
        <f t="shared" si="56"/>
        <v>746.0973679298403</v>
      </c>
      <c r="O298" s="33">
        <f t="shared" si="57"/>
        <v>30371.171536820846</v>
      </c>
      <c r="P298" s="33">
        <f t="shared" si="58"/>
        <v>2581.5495806297718</v>
      </c>
      <c r="Q298" s="33">
        <f t="shared" si="59"/>
        <v>7349.823511910645</v>
      </c>
      <c r="R298" s="33">
        <f>(I298+J298)*18%*24.2%</f>
        <v>831.2014288916363</v>
      </c>
      <c r="S298" s="33">
        <f t="shared" si="60"/>
        <v>1504.7152246996664</v>
      </c>
      <c r="T298" s="34">
        <f t="shared" si="64"/>
        <v>42638.461282952565</v>
      </c>
      <c r="V298" s="7"/>
    </row>
    <row r="299" spans="1:22" s="5" customFormat="1" ht="12.75" hidden="1">
      <c r="A299" s="30" t="s">
        <v>8</v>
      </c>
      <c r="B299" s="31" t="s">
        <v>123</v>
      </c>
      <c r="C299" s="31">
        <v>6</v>
      </c>
      <c r="D299" s="31" t="s">
        <v>34</v>
      </c>
      <c r="E299" s="32" t="s">
        <v>146</v>
      </c>
      <c r="F299" s="45" t="s">
        <v>147</v>
      </c>
      <c r="G299" s="45"/>
      <c r="H299" s="45"/>
      <c r="I299" s="33">
        <f t="shared" si="66"/>
        <v>17581.414839026682</v>
      </c>
      <c r="J299" s="33">
        <f t="shared" si="66"/>
        <v>8439.070756241366</v>
      </c>
      <c r="K299" s="33">
        <f t="shared" si="66"/>
        <v>9193.565602619525</v>
      </c>
      <c r="L299" s="33">
        <f t="shared" si="66"/>
        <v>6026.592948659936</v>
      </c>
      <c r="M299" s="33">
        <f t="shared" si="55"/>
        <v>2168.3737996056707</v>
      </c>
      <c r="N299" s="33">
        <f t="shared" si="56"/>
        <v>766.1304668849604</v>
      </c>
      <c r="O299" s="33">
        <f t="shared" si="57"/>
        <v>44175.14841303814</v>
      </c>
      <c r="P299" s="33">
        <f t="shared" si="58"/>
        <v>3754.8876151082422</v>
      </c>
      <c r="Q299" s="33">
        <f t="shared" si="59"/>
        <v>10690.38591595523</v>
      </c>
      <c r="R299" s="33"/>
      <c r="S299" s="33">
        <f t="shared" si="60"/>
        <v>1940.55365567754</v>
      </c>
      <c r="T299" s="34">
        <f t="shared" si="64"/>
        <v>60560.97559977916</v>
      </c>
      <c r="V299" s="7"/>
    </row>
    <row r="300" spans="1:22" s="5" customFormat="1" ht="12.75" hidden="1">
      <c r="A300" s="30" t="s">
        <v>8</v>
      </c>
      <c r="B300" s="31" t="s">
        <v>123</v>
      </c>
      <c r="C300" s="31">
        <v>7</v>
      </c>
      <c r="D300" s="31" t="s">
        <v>34</v>
      </c>
      <c r="E300" s="32" t="s">
        <v>148</v>
      </c>
      <c r="F300" s="45" t="s">
        <v>149</v>
      </c>
      <c r="G300" s="45"/>
      <c r="H300" s="45"/>
      <c r="I300" s="33">
        <f t="shared" si="66"/>
        <v>17581.414839026682</v>
      </c>
      <c r="J300" s="33">
        <f t="shared" si="66"/>
        <v>10000.304540008252</v>
      </c>
      <c r="K300" s="33">
        <f t="shared" si="66"/>
        <v>9193.565602619525</v>
      </c>
      <c r="L300" s="33">
        <f t="shared" si="66"/>
        <v>6026.592948659936</v>
      </c>
      <c r="M300" s="33">
        <f aca="true" t="shared" si="67" ref="M300:M307">(I300+J300)/12</f>
        <v>2298.476614919578</v>
      </c>
      <c r="N300" s="33">
        <f aca="true" t="shared" si="68" ref="N300:N307">K300/12</f>
        <v>766.1304668849604</v>
      </c>
      <c r="O300" s="33">
        <f aca="true" t="shared" si="69" ref="O300:O307">SUM(I300:N300)</f>
        <v>45866.48501211894</v>
      </c>
      <c r="P300" s="33">
        <f aca="true" t="shared" si="70" ref="P300:P307">O300*8.5/100</f>
        <v>3898.6512260301097</v>
      </c>
      <c r="Q300" s="33">
        <f aca="true" t="shared" si="71" ref="Q300:Q307">O300*24.2/100</f>
        <v>11099.689372932782</v>
      </c>
      <c r="R300" s="33"/>
      <c r="S300" s="33">
        <f aca="true" t="shared" si="72" ref="S300:S307">(I300+J300+M300)*80%*7.1%+(K300+N300)*80%*60%*7.1%</f>
        <v>2036.6215745053291</v>
      </c>
      <c r="T300" s="34">
        <f t="shared" si="64"/>
        <v>62901.44718558716</v>
      </c>
      <c r="V300" s="7"/>
    </row>
    <row r="301" spans="1:22" s="5" customFormat="1" ht="12.75" hidden="1">
      <c r="A301" s="30" t="s">
        <v>8</v>
      </c>
      <c r="B301" s="31" t="s">
        <v>123</v>
      </c>
      <c r="C301" s="31">
        <v>8</v>
      </c>
      <c r="D301" s="31" t="s">
        <v>34</v>
      </c>
      <c r="E301" s="32" t="s">
        <v>150</v>
      </c>
      <c r="F301" s="45" t="s">
        <v>151</v>
      </c>
      <c r="G301" s="45"/>
      <c r="H301" s="45"/>
      <c r="I301" s="33">
        <f aca="true" t="shared" si="73" ref="I301:L307">I224*1.0177</f>
        <v>17581.414839026682</v>
      </c>
      <c r="J301" s="33">
        <f t="shared" si="73"/>
        <v>11561.538323775132</v>
      </c>
      <c r="K301" s="33">
        <f t="shared" si="73"/>
        <v>9193.565602619525</v>
      </c>
      <c r="L301" s="33">
        <f t="shared" si="73"/>
        <v>6026.592948659936</v>
      </c>
      <c r="M301" s="33">
        <f t="shared" si="67"/>
        <v>2428.579430233485</v>
      </c>
      <c r="N301" s="33">
        <f t="shared" si="68"/>
        <v>766.1304668849604</v>
      </c>
      <c r="O301" s="33">
        <f t="shared" si="69"/>
        <v>47557.82161119972</v>
      </c>
      <c r="P301" s="33">
        <f t="shared" si="70"/>
        <v>4042.414836951976</v>
      </c>
      <c r="Q301" s="33">
        <f t="shared" si="71"/>
        <v>11508.99282991033</v>
      </c>
      <c r="R301" s="33"/>
      <c r="S301" s="33">
        <f t="shared" si="72"/>
        <v>2132.6894933331178</v>
      </c>
      <c r="T301" s="34">
        <f t="shared" si="64"/>
        <v>65241.91877139514</v>
      </c>
      <c r="V301" s="7"/>
    </row>
    <row r="302" spans="1:22" s="5" customFormat="1" ht="12.75" hidden="1">
      <c r="A302" s="30" t="s">
        <v>8</v>
      </c>
      <c r="B302" s="31" t="s">
        <v>123</v>
      </c>
      <c r="C302" s="31">
        <v>9</v>
      </c>
      <c r="D302" s="31" t="s">
        <v>34</v>
      </c>
      <c r="E302" s="32" t="s">
        <v>152</v>
      </c>
      <c r="F302" s="45" t="s">
        <v>153</v>
      </c>
      <c r="G302" s="45"/>
      <c r="H302" s="45"/>
      <c r="I302" s="33">
        <f t="shared" si="73"/>
        <v>17581.414839026682</v>
      </c>
      <c r="J302" s="33">
        <f t="shared" si="73"/>
        <v>13122.760487415017</v>
      </c>
      <c r="K302" s="33">
        <f t="shared" si="73"/>
        <v>9193.565602619525</v>
      </c>
      <c r="L302" s="33">
        <f t="shared" si="73"/>
        <v>6026.592948659936</v>
      </c>
      <c r="M302" s="33">
        <f t="shared" si="67"/>
        <v>2558.681277203475</v>
      </c>
      <c r="N302" s="33">
        <f t="shared" si="68"/>
        <v>766.1304668849604</v>
      </c>
      <c r="O302" s="33">
        <f t="shared" si="69"/>
        <v>49249.1456218096</v>
      </c>
      <c r="P302" s="33">
        <f t="shared" si="70"/>
        <v>4186.177377853816</v>
      </c>
      <c r="Q302" s="33">
        <f t="shared" si="71"/>
        <v>11918.293240477922</v>
      </c>
      <c r="R302" s="33"/>
      <c r="S302" s="33">
        <f t="shared" si="72"/>
        <v>2228.7566971357587</v>
      </c>
      <c r="T302" s="34">
        <f t="shared" si="64"/>
        <v>67582.37293727709</v>
      </c>
      <c r="V302" s="7"/>
    </row>
    <row r="303" spans="1:22" s="5" customFormat="1" ht="12.75" hidden="1">
      <c r="A303" s="30" t="s">
        <v>8</v>
      </c>
      <c r="B303" s="31" t="s">
        <v>123</v>
      </c>
      <c r="C303" s="31">
        <v>10</v>
      </c>
      <c r="D303" s="31" t="s">
        <v>34</v>
      </c>
      <c r="E303" s="32" t="s">
        <v>154</v>
      </c>
      <c r="F303" s="45" t="s">
        <v>155</v>
      </c>
      <c r="G303" s="45"/>
      <c r="H303" s="45"/>
      <c r="I303" s="33">
        <f t="shared" si="73"/>
        <v>17581.414839026682</v>
      </c>
      <c r="J303" s="33">
        <f t="shared" si="73"/>
        <v>14683.9942711819</v>
      </c>
      <c r="K303" s="33">
        <f t="shared" si="73"/>
        <v>9193.565602619525</v>
      </c>
      <c r="L303" s="33">
        <f t="shared" si="73"/>
        <v>6026.592948659936</v>
      </c>
      <c r="M303" s="33">
        <f t="shared" si="67"/>
        <v>2688.784092517382</v>
      </c>
      <c r="N303" s="33">
        <f t="shared" si="68"/>
        <v>766.1304668849604</v>
      </c>
      <c r="O303" s="33">
        <f t="shared" si="69"/>
        <v>50940.48222089038</v>
      </c>
      <c r="P303" s="33">
        <f t="shared" si="70"/>
        <v>4329.940988775682</v>
      </c>
      <c r="Q303" s="33">
        <f t="shared" si="71"/>
        <v>12327.596697455472</v>
      </c>
      <c r="R303" s="33"/>
      <c r="S303" s="33">
        <f t="shared" si="72"/>
        <v>2324.8246159635473</v>
      </c>
      <c r="T303" s="34">
        <f t="shared" si="64"/>
        <v>69922.84452308508</v>
      </c>
      <c r="V303" s="7"/>
    </row>
    <row r="304" spans="1:22" s="5" customFormat="1" ht="12.75" hidden="1">
      <c r="A304" s="30" t="s">
        <v>8</v>
      </c>
      <c r="B304" s="31" t="s">
        <v>123</v>
      </c>
      <c r="C304" s="31">
        <v>11</v>
      </c>
      <c r="D304" s="31" t="s">
        <v>34</v>
      </c>
      <c r="E304" s="32" t="s">
        <v>156</v>
      </c>
      <c r="F304" s="45" t="s">
        <v>157</v>
      </c>
      <c r="G304" s="45"/>
      <c r="H304" s="45"/>
      <c r="I304" s="33">
        <f t="shared" si="73"/>
        <v>17581.414839026682</v>
      </c>
      <c r="J304" s="33">
        <f t="shared" si="73"/>
        <v>16245.228054948784</v>
      </c>
      <c r="K304" s="33">
        <f t="shared" si="73"/>
        <v>9193.565602619525</v>
      </c>
      <c r="L304" s="33">
        <f t="shared" si="73"/>
        <v>6026.592948659936</v>
      </c>
      <c r="M304" s="33">
        <f t="shared" si="67"/>
        <v>2818.886907831289</v>
      </c>
      <c r="N304" s="33">
        <f t="shared" si="68"/>
        <v>766.1304668849604</v>
      </c>
      <c r="O304" s="33">
        <f t="shared" si="69"/>
        <v>52631.81881997117</v>
      </c>
      <c r="P304" s="33">
        <f t="shared" si="70"/>
        <v>4473.704599697549</v>
      </c>
      <c r="Q304" s="33">
        <f t="shared" si="71"/>
        <v>12736.900154433024</v>
      </c>
      <c r="R304" s="33">
        <v>15.02</v>
      </c>
      <c r="S304" s="33">
        <f t="shared" si="72"/>
        <v>2420.8925347913364</v>
      </c>
      <c r="T304" s="34">
        <f>O304+P304+Q304+R304+S304</f>
        <v>72278.33610889308</v>
      </c>
      <c r="V304" s="7"/>
    </row>
    <row r="305" spans="1:22" s="5" customFormat="1" ht="12.75" hidden="1">
      <c r="A305" s="30" t="s">
        <v>8</v>
      </c>
      <c r="B305" s="31" t="s">
        <v>123</v>
      </c>
      <c r="C305" s="31">
        <v>12</v>
      </c>
      <c r="D305" s="31" t="s">
        <v>34</v>
      </c>
      <c r="E305" s="32" t="s">
        <v>158</v>
      </c>
      <c r="F305" s="45" t="s">
        <v>159</v>
      </c>
      <c r="G305" s="45"/>
      <c r="H305" s="45"/>
      <c r="I305" s="33">
        <f t="shared" si="73"/>
        <v>17581.414839026682</v>
      </c>
      <c r="J305" s="33">
        <f t="shared" si="73"/>
        <v>17806.450218588663</v>
      </c>
      <c r="K305" s="33">
        <f t="shared" si="73"/>
        <v>9193.565602619525</v>
      </c>
      <c r="L305" s="33">
        <f t="shared" si="73"/>
        <v>6026.592948659936</v>
      </c>
      <c r="M305" s="33">
        <f t="shared" si="67"/>
        <v>2948.988754801279</v>
      </c>
      <c r="N305" s="33">
        <f t="shared" si="68"/>
        <v>766.1304668849604</v>
      </c>
      <c r="O305" s="33">
        <f t="shared" si="69"/>
        <v>54323.14283058104</v>
      </c>
      <c r="P305" s="33">
        <f t="shared" si="70"/>
        <v>4617.467140599389</v>
      </c>
      <c r="Q305" s="33">
        <f t="shared" si="71"/>
        <v>13146.200565000612</v>
      </c>
      <c r="R305" s="33">
        <v>83.06</v>
      </c>
      <c r="S305" s="33">
        <f t="shared" si="72"/>
        <v>2516.959738593977</v>
      </c>
      <c r="T305" s="34">
        <f t="shared" si="64"/>
        <v>74686.83027477501</v>
      </c>
      <c r="V305" s="7"/>
    </row>
    <row r="306" spans="1:22" s="5" customFormat="1" ht="12.75" hidden="1">
      <c r="A306" s="30" t="s">
        <v>8</v>
      </c>
      <c r="B306" s="31" t="s">
        <v>123</v>
      </c>
      <c r="C306" s="31">
        <v>13</v>
      </c>
      <c r="D306" s="31" t="s">
        <v>34</v>
      </c>
      <c r="E306" s="32" t="s">
        <v>160</v>
      </c>
      <c r="F306" s="45" t="s">
        <v>161</v>
      </c>
      <c r="G306" s="45"/>
      <c r="H306" s="45"/>
      <c r="I306" s="33">
        <f t="shared" si="73"/>
        <v>17581.414839026682</v>
      </c>
      <c r="J306" s="33">
        <f t="shared" si="73"/>
        <v>19367.684002355545</v>
      </c>
      <c r="K306" s="33">
        <f t="shared" si="73"/>
        <v>9193.565602619525</v>
      </c>
      <c r="L306" s="33">
        <f t="shared" si="73"/>
        <v>6026.592948659936</v>
      </c>
      <c r="M306" s="33">
        <f t="shared" si="67"/>
        <v>3079.0915701151857</v>
      </c>
      <c r="N306" s="33">
        <f t="shared" si="68"/>
        <v>766.1304668849604</v>
      </c>
      <c r="O306" s="33">
        <f t="shared" si="69"/>
        <v>56014.479429661835</v>
      </c>
      <c r="P306" s="33">
        <f t="shared" si="70"/>
        <v>4761.230751521256</v>
      </c>
      <c r="Q306" s="33">
        <f t="shared" si="71"/>
        <v>13555.504021978164</v>
      </c>
      <c r="R306" s="33">
        <v>151.07</v>
      </c>
      <c r="S306" s="33">
        <f t="shared" si="72"/>
        <v>2613.027657421766</v>
      </c>
      <c r="T306" s="34">
        <f t="shared" si="64"/>
        <v>77095.31186058304</v>
      </c>
      <c r="V306" s="7"/>
    </row>
    <row r="307" spans="1:22" s="5" customFormat="1" ht="13.5" hidden="1" thickBot="1">
      <c r="A307" s="35" t="s">
        <v>8</v>
      </c>
      <c r="B307" s="36" t="s">
        <v>123</v>
      </c>
      <c r="C307" s="36">
        <v>14</v>
      </c>
      <c r="D307" s="36" t="s">
        <v>34</v>
      </c>
      <c r="E307" s="37" t="s">
        <v>162</v>
      </c>
      <c r="F307" s="46" t="s">
        <v>163</v>
      </c>
      <c r="G307" s="46"/>
      <c r="H307" s="46"/>
      <c r="I307" s="38">
        <f t="shared" si="73"/>
        <v>17581.414839026682</v>
      </c>
      <c r="J307" s="38">
        <f t="shared" si="73"/>
        <v>20928.917786122434</v>
      </c>
      <c r="K307" s="38">
        <f t="shared" si="73"/>
        <v>9193.565602619525</v>
      </c>
      <c r="L307" s="38">
        <f t="shared" si="73"/>
        <v>6026.592948659936</v>
      </c>
      <c r="M307" s="38">
        <f t="shared" si="67"/>
        <v>3209.194385429093</v>
      </c>
      <c r="N307" s="38">
        <f t="shared" si="68"/>
        <v>766.1304668849604</v>
      </c>
      <c r="O307" s="38">
        <f t="shared" si="69"/>
        <v>57705.816028742636</v>
      </c>
      <c r="P307" s="38">
        <f t="shared" si="70"/>
        <v>4904.9943624431235</v>
      </c>
      <c r="Q307" s="38">
        <f t="shared" si="71"/>
        <v>13964.80747895572</v>
      </c>
      <c r="R307" s="38">
        <v>219.07</v>
      </c>
      <c r="S307" s="38">
        <f t="shared" si="72"/>
        <v>2709.095576249555</v>
      </c>
      <c r="T307" s="39">
        <f t="shared" si="64"/>
        <v>79503.78344639104</v>
      </c>
      <c r="V307" s="7"/>
    </row>
    <row r="308" spans="1:22" s="5" customFormat="1" ht="12.75" hidden="1">
      <c r="A308" s="1"/>
      <c r="B308" s="1"/>
      <c r="C308" s="1"/>
      <c r="D308" s="1"/>
      <c r="T308" s="6"/>
      <c r="V308" s="7"/>
    </row>
    <row r="309" spans="1:22" s="5" customFormat="1" ht="11.25" customHeight="1" hidden="1">
      <c r="A309" s="1"/>
      <c r="B309" s="1"/>
      <c r="C309" s="1"/>
      <c r="D309" s="1"/>
      <c r="T309" s="6"/>
      <c r="V309" s="7"/>
    </row>
    <row r="310" spans="1:22" s="5" customFormat="1" ht="21.75" customHeight="1" hidden="1">
      <c r="A310" s="1"/>
      <c r="B310" s="51" t="s">
        <v>169</v>
      </c>
      <c r="C310" s="3"/>
      <c r="D310" s="4"/>
      <c r="T310" s="6"/>
      <c r="V310" s="7"/>
    </row>
    <row r="311" spans="1:22" s="5" customFormat="1" ht="12.75" hidden="1">
      <c r="A311" s="1"/>
      <c r="B311" s="1"/>
      <c r="C311" s="1"/>
      <c r="D311" s="4"/>
      <c r="T311" s="6"/>
      <c r="V311" s="7"/>
    </row>
    <row r="312" spans="1:22" s="5" customFormat="1" ht="13.5" hidden="1" thickTop="1">
      <c r="A312" s="21" t="s">
        <v>167</v>
      </c>
      <c r="B312" s="22" t="s">
        <v>13</v>
      </c>
      <c r="C312" s="22" t="s">
        <v>14</v>
      </c>
      <c r="D312" s="22" t="s">
        <v>15</v>
      </c>
      <c r="E312" s="23" t="s">
        <v>16</v>
      </c>
      <c r="F312" s="23" t="s">
        <v>17</v>
      </c>
      <c r="G312" s="23"/>
      <c r="H312" s="23"/>
      <c r="I312" s="23" t="s">
        <v>18</v>
      </c>
      <c r="J312" s="23" t="s">
        <v>19</v>
      </c>
      <c r="K312" s="23" t="s">
        <v>20</v>
      </c>
      <c r="L312" s="23" t="s">
        <v>21</v>
      </c>
      <c r="M312" s="23" t="s">
        <v>22</v>
      </c>
      <c r="N312" s="23" t="s">
        <v>23</v>
      </c>
      <c r="O312" s="23" t="s">
        <v>24</v>
      </c>
      <c r="P312" s="23" t="s">
        <v>25</v>
      </c>
      <c r="Q312" s="23" t="s">
        <v>26</v>
      </c>
      <c r="R312" s="23" t="s">
        <v>27</v>
      </c>
      <c r="S312" s="23" t="s">
        <v>28</v>
      </c>
      <c r="T312" s="24" t="s">
        <v>29</v>
      </c>
      <c r="V312" s="7"/>
    </row>
    <row r="313" spans="1:22" s="5" customFormat="1" ht="13.5" hidden="1" thickTop="1">
      <c r="A313" s="25" t="s">
        <v>10</v>
      </c>
      <c r="B313" s="26" t="s">
        <v>30</v>
      </c>
      <c r="C313" s="26">
        <v>0</v>
      </c>
      <c r="D313" s="26" t="s">
        <v>31</v>
      </c>
      <c r="E313" s="27" t="s">
        <v>32</v>
      </c>
      <c r="F313" s="27" t="s">
        <v>33</v>
      </c>
      <c r="G313" s="27"/>
      <c r="H313" s="27"/>
      <c r="I313" s="28">
        <f aca="true" t="shared" si="74" ref="I313:L328">I236*1.0377</f>
        <v>24052.551326495897</v>
      </c>
      <c r="J313" s="28">
        <f t="shared" si="74"/>
        <v>0</v>
      </c>
      <c r="K313" s="28">
        <f t="shared" si="74"/>
        <v>10011.13242766947</v>
      </c>
      <c r="L313" s="28">
        <f t="shared" si="74"/>
        <v>0</v>
      </c>
      <c r="M313" s="28">
        <f>(I313+J313)/12</f>
        <v>2004.3792772079914</v>
      </c>
      <c r="N313" s="28">
        <f>K313/12</f>
        <v>834.2610356391225</v>
      </c>
      <c r="O313" s="28">
        <f>SUM(I313:N313)</f>
        <v>36902.32406701248</v>
      </c>
      <c r="P313" s="28">
        <f aca="true" t="shared" si="75" ref="P313:P376">O313*8.5/100</f>
        <v>3136.697545696061</v>
      </c>
      <c r="Q313" s="28">
        <f aca="true" t="shared" si="76" ref="Q313:Q376">O313*24.2/100</f>
        <v>8930.36242421702</v>
      </c>
      <c r="R313" s="28">
        <f>(I313+J313)*18%*24.2%</f>
        <v>1047.7291357821612</v>
      </c>
      <c r="S313" s="28">
        <f aca="true" t="shared" si="77" ref="S313:S376">(I313+J313+M313)*80%*7.1%+(K313+N313)*80%*60%*7.1%</f>
        <v>1849.6446675199377</v>
      </c>
      <c r="T313" s="29">
        <f aca="true" t="shared" si="78" ref="T313:T333">O313+P313+Q313+R313+S313</f>
        <v>51866.75784022766</v>
      </c>
      <c r="V313" s="7"/>
    </row>
    <row r="314" spans="1:22" s="5" customFormat="1" ht="12.75" hidden="1">
      <c r="A314" s="30" t="s">
        <v>10</v>
      </c>
      <c r="B314" s="31" t="s">
        <v>30</v>
      </c>
      <c r="C314" s="31">
        <v>0</v>
      </c>
      <c r="D314" s="31" t="s">
        <v>34</v>
      </c>
      <c r="E314" s="32" t="s">
        <v>35</v>
      </c>
      <c r="F314" s="45" t="s">
        <v>36</v>
      </c>
      <c r="G314" s="45"/>
      <c r="H314" s="45"/>
      <c r="I314" s="33">
        <f t="shared" si="74"/>
        <v>33187.02807666188</v>
      </c>
      <c r="J314" s="33">
        <f t="shared" si="74"/>
        <v>0</v>
      </c>
      <c r="K314" s="33">
        <f>K237*1.0377</f>
        <v>10639.67846279294</v>
      </c>
      <c r="L314" s="33">
        <f t="shared" si="74"/>
        <v>7657.708286797009</v>
      </c>
      <c r="M314" s="33">
        <f aca="true" t="shared" si="79" ref="M314:M377">(I314+J314)/12</f>
        <v>2765.585673055157</v>
      </c>
      <c r="N314" s="33">
        <f aca="true" t="shared" si="80" ref="N314:N377">K314/12</f>
        <v>886.6398718994116</v>
      </c>
      <c r="O314" s="33">
        <f aca="true" t="shared" si="81" ref="O314:O377">SUM(I314:N314)</f>
        <v>55136.6403712064</v>
      </c>
      <c r="P314" s="33">
        <f t="shared" si="75"/>
        <v>4686.614431552544</v>
      </c>
      <c r="Q314" s="33">
        <f t="shared" si="76"/>
        <v>13343.066969831949</v>
      </c>
      <c r="R314" s="33"/>
      <c r="S314" s="33">
        <f t="shared" si="77"/>
        <v>2434.925389830243</v>
      </c>
      <c r="T314" s="34">
        <f t="shared" si="78"/>
        <v>75601.24716242113</v>
      </c>
      <c r="V314" s="7"/>
    </row>
    <row r="315" spans="1:22" s="5" customFormat="1" ht="12.75" hidden="1">
      <c r="A315" s="30" t="s">
        <v>10</v>
      </c>
      <c r="B315" s="31" t="s">
        <v>37</v>
      </c>
      <c r="C315" s="31">
        <v>0</v>
      </c>
      <c r="D315" s="31" t="s">
        <v>31</v>
      </c>
      <c r="E315" s="32" t="s">
        <v>38</v>
      </c>
      <c r="F315" s="45"/>
      <c r="G315" s="45"/>
      <c r="H315" s="45"/>
      <c r="I315" s="33">
        <f t="shared" si="74"/>
        <v>26038.308714558825</v>
      </c>
      <c r="J315" s="33">
        <f t="shared" si="74"/>
        <v>0</v>
      </c>
      <c r="K315" s="33">
        <f t="shared" si="74"/>
        <v>10147.763957500722</v>
      </c>
      <c r="L315" s="33">
        <f t="shared" si="74"/>
        <v>0</v>
      </c>
      <c r="M315" s="33">
        <f t="shared" si="79"/>
        <v>2169.859059546569</v>
      </c>
      <c r="N315" s="33">
        <f t="shared" si="80"/>
        <v>845.6469964583935</v>
      </c>
      <c r="O315" s="33">
        <f t="shared" si="81"/>
        <v>39201.578728064516</v>
      </c>
      <c r="P315" s="33">
        <f t="shared" si="75"/>
        <v>3332.134191885484</v>
      </c>
      <c r="Q315" s="33">
        <f t="shared" si="76"/>
        <v>9486.782052191613</v>
      </c>
      <c r="R315" s="33">
        <f>(I315+J315)*18%*24.2%</f>
        <v>1134.2287276061822</v>
      </c>
      <c r="S315" s="33">
        <f t="shared" si="77"/>
        <v>1976.8793748801131</v>
      </c>
      <c r="T315" s="34">
        <f t="shared" si="78"/>
        <v>55131.60307462791</v>
      </c>
      <c r="V315" s="7"/>
    </row>
    <row r="316" spans="1:22" s="5" customFormat="1" ht="12.75" hidden="1">
      <c r="A316" s="30" t="s">
        <v>10</v>
      </c>
      <c r="B316" s="31" t="s">
        <v>37</v>
      </c>
      <c r="C316" s="31">
        <v>0</v>
      </c>
      <c r="D316" s="31" t="s">
        <v>34</v>
      </c>
      <c r="E316" s="32" t="s">
        <v>39</v>
      </c>
      <c r="F316" s="45"/>
      <c r="G316" s="45"/>
      <c r="H316" s="45"/>
      <c r="I316" s="33">
        <f t="shared" si="74"/>
        <v>35967.07153846188</v>
      </c>
      <c r="J316" s="33">
        <f t="shared" si="74"/>
        <v>0</v>
      </c>
      <c r="K316" s="33">
        <f t="shared" si="74"/>
        <v>10830.969839480169</v>
      </c>
      <c r="L316" s="33">
        <f t="shared" si="74"/>
        <v>7657.708286797009</v>
      </c>
      <c r="M316" s="33">
        <f t="shared" si="79"/>
        <v>2997.2559615384903</v>
      </c>
      <c r="N316" s="33">
        <f t="shared" si="80"/>
        <v>902.5808199566808</v>
      </c>
      <c r="O316" s="33">
        <f t="shared" si="81"/>
        <v>58355.58644623423</v>
      </c>
      <c r="P316" s="33">
        <f t="shared" si="75"/>
        <v>4960.22484792991</v>
      </c>
      <c r="Q316" s="33">
        <f t="shared" si="76"/>
        <v>14122.051919988682</v>
      </c>
      <c r="R316" s="33"/>
      <c r="S316" s="33">
        <f t="shared" si="77"/>
        <v>2613.0532084736287</v>
      </c>
      <c r="T316" s="34">
        <f t="shared" si="78"/>
        <v>80050.91642262645</v>
      </c>
      <c r="V316" s="7"/>
    </row>
    <row r="317" spans="1:22" s="5" customFormat="1" ht="12.75" hidden="1">
      <c r="A317" s="30" t="s">
        <v>10</v>
      </c>
      <c r="B317" s="31" t="s">
        <v>37</v>
      </c>
      <c r="C317" s="31">
        <v>1</v>
      </c>
      <c r="D317" s="31" t="s">
        <v>31</v>
      </c>
      <c r="E317" s="32" t="s">
        <v>40</v>
      </c>
      <c r="F317" s="45"/>
      <c r="G317" s="45"/>
      <c r="H317" s="45"/>
      <c r="I317" s="33">
        <f t="shared" si="74"/>
        <v>26038.308714558825</v>
      </c>
      <c r="J317" s="33">
        <f t="shared" si="74"/>
        <v>2083.067108805865</v>
      </c>
      <c r="K317" s="33">
        <f t="shared" si="74"/>
        <v>10147.763957500722</v>
      </c>
      <c r="L317" s="33">
        <f t="shared" si="74"/>
        <v>0</v>
      </c>
      <c r="M317" s="33">
        <f t="shared" si="79"/>
        <v>2343.447985280391</v>
      </c>
      <c r="N317" s="33">
        <f t="shared" si="80"/>
        <v>845.6469964583935</v>
      </c>
      <c r="O317" s="33">
        <f t="shared" si="81"/>
        <v>41458.2347626042</v>
      </c>
      <c r="P317" s="33">
        <f t="shared" si="75"/>
        <v>3523.9499548213576</v>
      </c>
      <c r="Q317" s="33">
        <f t="shared" si="76"/>
        <v>10032.892812550217</v>
      </c>
      <c r="R317" s="33">
        <f>(I317+J317)*18%*24.2%</f>
        <v>1224.9671308657657</v>
      </c>
      <c r="S317" s="33">
        <f t="shared" si="77"/>
        <v>2105.0574376419677</v>
      </c>
      <c r="T317" s="34">
        <f t="shared" si="78"/>
        <v>58345.10209848351</v>
      </c>
      <c r="V317" s="7"/>
    </row>
    <row r="318" spans="1:22" s="5" customFormat="1" ht="12.75" hidden="1">
      <c r="A318" s="30" t="s">
        <v>10</v>
      </c>
      <c r="B318" s="31" t="s">
        <v>37</v>
      </c>
      <c r="C318" s="31">
        <v>1</v>
      </c>
      <c r="D318" s="31" t="s">
        <v>34</v>
      </c>
      <c r="E318" s="32" t="s">
        <v>41</v>
      </c>
      <c r="F318" s="45"/>
      <c r="G318" s="45"/>
      <c r="H318" s="45"/>
      <c r="I318" s="33">
        <f t="shared" si="74"/>
        <v>35967.07153846188</v>
      </c>
      <c r="J318" s="33">
        <f t="shared" si="74"/>
        <v>2877.3652407487184</v>
      </c>
      <c r="K318" s="33">
        <f t="shared" si="74"/>
        <v>10830.969839480169</v>
      </c>
      <c r="L318" s="33">
        <f t="shared" si="74"/>
        <v>8933.984962459315</v>
      </c>
      <c r="M318" s="33">
        <f t="shared" si="79"/>
        <v>3237.03639826755</v>
      </c>
      <c r="N318" s="33">
        <f t="shared" si="80"/>
        <v>902.5808199566808</v>
      </c>
      <c r="O318" s="33">
        <f t="shared" si="81"/>
        <v>62749.00879937431</v>
      </c>
      <c r="P318" s="33">
        <f t="shared" si="75"/>
        <v>5333.665747946816</v>
      </c>
      <c r="Q318" s="33">
        <f t="shared" si="76"/>
        <v>15185.260129448583</v>
      </c>
      <c r="R318" s="33"/>
      <c r="S318" s="33">
        <f t="shared" si="77"/>
        <v>2790.107082954366</v>
      </c>
      <c r="T318" s="34">
        <f t="shared" si="78"/>
        <v>86058.04175972406</v>
      </c>
      <c r="V318" s="7"/>
    </row>
    <row r="319" spans="1:22" s="5" customFormat="1" ht="12.75" hidden="1">
      <c r="A319" s="30" t="s">
        <v>10</v>
      </c>
      <c r="B319" s="31" t="s">
        <v>37</v>
      </c>
      <c r="C319" s="31">
        <v>2</v>
      </c>
      <c r="D319" s="31" t="s">
        <v>31</v>
      </c>
      <c r="E319" s="32" t="s">
        <v>42</v>
      </c>
      <c r="F319" s="45"/>
      <c r="G319" s="45"/>
      <c r="H319" s="45"/>
      <c r="I319" s="33">
        <f t="shared" si="74"/>
        <v>26038.308714558825</v>
      </c>
      <c r="J319" s="33">
        <f t="shared" si="74"/>
        <v>4166.13421761173</v>
      </c>
      <c r="K319" s="33">
        <f t="shared" si="74"/>
        <v>10147.763957500722</v>
      </c>
      <c r="L319" s="33">
        <f t="shared" si="74"/>
        <v>0</v>
      </c>
      <c r="M319" s="33">
        <f t="shared" si="79"/>
        <v>2517.036911014213</v>
      </c>
      <c r="N319" s="33">
        <f t="shared" si="80"/>
        <v>845.6469964583935</v>
      </c>
      <c r="O319" s="33">
        <f t="shared" si="81"/>
        <v>43714.89079714388</v>
      </c>
      <c r="P319" s="33">
        <f t="shared" si="75"/>
        <v>3715.76571775723</v>
      </c>
      <c r="Q319" s="33">
        <f t="shared" si="76"/>
        <v>10579.00357290882</v>
      </c>
      <c r="R319" s="33">
        <f>(I319+J319)*18%*24.2%</f>
        <v>1315.7055341253492</v>
      </c>
      <c r="S319" s="33">
        <f t="shared" si="77"/>
        <v>2233.2355004038213</v>
      </c>
      <c r="T319" s="34">
        <f t="shared" si="78"/>
        <v>61558.6011223391</v>
      </c>
      <c r="V319" s="7"/>
    </row>
    <row r="320" spans="1:22" s="5" customFormat="1" ht="12.75" hidden="1">
      <c r="A320" s="30" t="s">
        <v>10</v>
      </c>
      <c r="B320" s="31" t="s">
        <v>37</v>
      </c>
      <c r="C320" s="31">
        <v>2</v>
      </c>
      <c r="D320" s="31" t="s">
        <v>34</v>
      </c>
      <c r="E320" s="32" t="s">
        <v>43</v>
      </c>
      <c r="F320" s="45" t="s">
        <v>44</v>
      </c>
      <c r="G320" s="45"/>
      <c r="H320" s="45"/>
      <c r="I320" s="33">
        <f t="shared" si="74"/>
        <v>35967.07153846188</v>
      </c>
      <c r="J320" s="33">
        <f t="shared" si="74"/>
        <v>5754.730481497437</v>
      </c>
      <c r="K320" s="33">
        <f t="shared" si="74"/>
        <v>10830.969839480169</v>
      </c>
      <c r="L320" s="33">
        <f t="shared" si="74"/>
        <v>8933.984962459315</v>
      </c>
      <c r="M320" s="33">
        <f t="shared" si="79"/>
        <v>3476.8168349966095</v>
      </c>
      <c r="N320" s="33">
        <f t="shared" si="80"/>
        <v>902.5808199566808</v>
      </c>
      <c r="O320" s="33">
        <f t="shared" si="81"/>
        <v>65866.15447685208</v>
      </c>
      <c r="P320" s="33">
        <f t="shared" si="75"/>
        <v>5598.623130532427</v>
      </c>
      <c r="Q320" s="33">
        <f t="shared" si="76"/>
        <v>15939.609383398203</v>
      </c>
      <c r="R320" s="33"/>
      <c r="S320" s="33">
        <f t="shared" si="77"/>
        <v>2967.1609574351037</v>
      </c>
      <c r="T320" s="34">
        <f t="shared" si="78"/>
        <v>90371.54794821782</v>
      </c>
      <c r="V320" s="7"/>
    </row>
    <row r="321" spans="1:22" s="5" customFormat="1" ht="12.75" hidden="1">
      <c r="A321" s="30" t="s">
        <v>10</v>
      </c>
      <c r="B321" s="31" t="s">
        <v>37</v>
      </c>
      <c r="C321" s="31">
        <v>3</v>
      </c>
      <c r="D321" s="31" t="s">
        <v>31</v>
      </c>
      <c r="E321" s="32" t="s">
        <v>45</v>
      </c>
      <c r="F321" s="45"/>
      <c r="G321" s="45"/>
      <c r="H321" s="45"/>
      <c r="I321" s="33">
        <f t="shared" si="74"/>
        <v>26038.308714558825</v>
      </c>
      <c r="J321" s="33">
        <f t="shared" si="74"/>
        <v>6249.201326417593</v>
      </c>
      <c r="K321" s="33">
        <f t="shared" si="74"/>
        <v>10147.763957500722</v>
      </c>
      <c r="L321" s="33">
        <f t="shared" si="74"/>
        <v>0</v>
      </c>
      <c r="M321" s="33">
        <f t="shared" si="79"/>
        <v>2690.625836748035</v>
      </c>
      <c r="N321" s="33">
        <f t="shared" si="80"/>
        <v>845.6469964583935</v>
      </c>
      <c r="O321" s="33">
        <f t="shared" si="81"/>
        <v>45971.54683168357</v>
      </c>
      <c r="P321" s="33">
        <f t="shared" si="75"/>
        <v>3907.5814806931035</v>
      </c>
      <c r="Q321" s="33">
        <f t="shared" si="76"/>
        <v>11125.114333267424</v>
      </c>
      <c r="R321" s="33">
        <f>(I321+J321)*18%*24.2%</f>
        <v>1406.4439373849327</v>
      </c>
      <c r="S321" s="33">
        <f t="shared" si="77"/>
        <v>2361.4135631656754</v>
      </c>
      <c r="T321" s="34">
        <f t="shared" si="78"/>
        <v>64772.1001461947</v>
      </c>
      <c r="V321" s="7"/>
    </row>
    <row r="322" spans="1:22" s="5" customFormat="1" ht="12.75" hidden="1">
      <c r="A322" s="30" t="s">
        <v>10</v>
      </c>
      <c r="B322" s="31" t="s">
        <v>37</v>
      </c>
      <c r="C322" s="31">
        <v>3</v>
      </c>
      <c r="D322" s="31" t="s">
        <v>34</v>
      </c>
      <c r="E322" s="32" t="s">
        <v>46</v>
      </c>
      <c r="F322" s="45" t="s">
        <v>47</v>
      </c>
      <c r="G322" s="45"/>
      <c r="H322" s="45"/>
      <c r="I322" s="33">
        <f t="shared" si="74"/>
        <v>35967.07153846188</v>
      </c>
      <c r="J322" s="33">
        <f t="shared" si="74"/>
        <v>8632.095722246155</v>
      </c>
      <c r="K322" s="33">
        <f t="shared" si="74"/>
        <v>10830.969839480169</v>
      </c>
      <c r="L322" s="33">
        <f t="shared" si="74"/>
        <v>10210.273696327413</v>
      </c>
      <c r="M322" s="33">
        <f t="shared" si="79"/>
        <v>3716.59727172567</v>
      </c>
      <c r="N322" s="33">
        <f t="shared" si="80"/>
        <v>902.5808199566808</v>
      </c>
      <c r="O322" s="33">
        <f t="shared" si="81"/>
        <v>70259.58888819796</v>
      </c>
      <c r="P322" s="33">
        <f t="shared" si="75"/>
        <v>5972.065055496827</v>
      </c>
      <c r="Q322" s="33">
        <f t="shared" si="76"/>
        <v>17002.820510943908</v>
      </c>
      <c r="R322" s="33"/>
      <c r="S322" s="33">
        <f t="shared" si="77"/>
        <v>3144.214831915842</v>
      </c>
      <c r="T322" s="34">
        <f t="shared" si="78"/>
        <v>96378.68928655454</v>
      </c>
      <c r="V322" s="7"/>
    </row>
    <row r="323" spans="1:22" s="5" customFormat="1" ht="12.75" hidden="1">
      <c r="A323" s="30" t="s">
        <v>10</v>
      </c>
      <c r="B323" s="31" t="s">
        <v>37</v>
      </c>
      <c r="C323" s="31">
        <v>4</v>
      </c>
      <c r="D323" s="31" t="s">
        <v>31</v>
      </c>
      <c r="E323" s="32" t="s">
        <v>48</v>
      </c>
      <c r="F323" s="45"/>
      <c r="G323" s="45"/>
      <c r="H323" s="45"/>
      <c r="I323" s="33">
        <f t="shared" si="74"/>
        <v>26038.308714558825</v>
      </c>
      <c r="J323" s="33">
        <f t="shared" si="74"/>
        <v>8332.26843522346</v>
      </c>
      <c r="K323" s="33">
        <f t="shared" si="74"/>
        <v>10147.763957500722</v>
      </c>
      <c r="L323" s="33">
        <f t="shared" si="74"/>
        <v>0</v>
      </c>
      <c r="M323" s="33">
        <f t="shared" si="79"/>
        <v>2864.214762481857</v>
      </c>
      <c r="N323" s="33">
        <f t="shared" si="80"/>
        <v>845.6469964583935</v>
      </c>
      <c r="O323" s="33">
        <f t="shared" si="81"/>
        <v>48228.20286622326</v>
      </c>
      <c r="P323" s="33">
        <f t="shared" si="75"/>
        <v>4099.397243628978</v>
      </c>
      <c r="Q323" s="33">
        <f t="shared" si="76"/>
        <v>11671.225093626028</v>
      </c>
      <c r="R323" s="33">
        <f>(I323+J323)*18%*24.2%</f>
        <v>1497.1823406445162</v>
      </c>
      <c r="S323" s="33">
        <f t="shared" si="77"/>
        <v>2489.59162592753</v>
      </c>
      <c r="T323" s="34">
        <f t="shared" si="78"/>
        <v>67985.59917005031</v>
      </c>
      <c r="V323" s="7"/>
    </row>
    <row r="324" spans="1:22" s="5" customFormat="1" ht="12.75" hidden="1">
      <c r="A324" s="30" t="s">
        <v>10</v>
      </c>
      <c r="B324" s="31" t="s">
        <v>37</v>
      </c>
      <c r="C324" s="31">
        <v>4</v>
      </c>
      <c r="D324" s="31" t="s">
        <v>34</v>
      </c>
      <c r="E324" s="32" t="s">
        <v>49</v>
      </c>
      <c r="F324" s="45" t="s">
        <v>50</v>
      </c>
      <c r="G324" s="45"/>
      <c r="H324" s="45"/>
      <c r="I324" s="33">
        <f t="shared" si="74"/>
        <v>35967.07153846188</v>
      </c>
      <c r="J324" s="33">
        <f t="shared" si="74"/>
        <v>11509.460962994874</v>
      </c>
      <c r="K324" s="33">
        <f t="shared" si="74"/>
        <v>10830.969839480169</v>
      </c>
      <c r="L324" s="33">
        <f t="shared" si="74"/>
        <v>10210.273696327413</v>
      </c>
      <c r="M324" s="33">
        <f t="shared" si="79"/>
        <v>3956.3777084547296</v>
      </c>
      <c r="N324" s="33">
        <f t="shared" si="80"/>
        <v>902.5808199566808</v>
      </c>
      <c r="O324" s="33">
        <f t="shared" si="81"/>
        <v>73376.73456567575</v>
      </c>
      <c r="P324" s="33">
        <f t="shared" si="75"/>
        <v>6237.022438082439</v>
      </c>
      <c r="Q324" s="33">
        <f t="shared" si="76"/>
        <v>17757.169764893533</v>
      </c>
      <c r="R324" s="33"/>
      <c r="S324" s="33">
        <f t="shared" si="77"/>
        <v>3321.2687063965805</v>
      </c>
      <c r="T324" s="34">
        <f t="shared" si="78"/>
        <v>100692.19547504831</v>
      </c>
      <c r="V324" s="7"/>
    </row>
    <row r="325" spans="1:22" s="5" customFormat="1" ht="12.75" hidden="1">
      <c r="A325" s="30" t="s">
        <v>10</v>
      </c>
      <c r="B325" s="31" t="s">
        <v>37</v>
      </c>
      <c r="C325" s="31">
        <v>5</v>
      </c>
      <c r="D325" s="31" t="s">
        <v>31</v>
      </c>
      <c r="E325" s="32" t="s">
        <v>51</v>
      </c>
      <c r="F325" s="45"/>
      <c r="G325" s="45"/>
      <c r="H325" s="45"/>
      <c r="I325" s="33">
        <f t="shared" si="74"/>
        <v>26038.308714558825</v>
      </c>
      <c r="J325" s="33">
        <f t="shared" si="74"/>
        <v>10415.335544029322</v>
      </c>
      <c r="K325" s="33">
        <f t="shared" si="74"/>
        <v>10147.763957500722</v>
      </c>
      <c r="L325" s="33">
        <f t="shared" si="74"/>
        <v>0</v>
      </c>
      <c r="M325" s="33">
        <f t="shared" si="79"/>
        <v>3037.803688215679</v>
      </c>
      <c r="N325" s="33">
        <f t="shared" si="80"/>
        <v>845.6469964583935</v>
      </c>
      <c r="O325" s="33">
        <f t="shared" si="81"/>
        <v>50484.85890076294</v>
      </c>
      <c r="P325" s="33">
        <f t="shared" si="75"/>
        <v>4291.21300656485</v>
      </c>
      <c r="Q325" s="33">
        <f t="shared" si="76"/>
        <v>12217.33585398463</v>
      </c>
      <c r="R325" s="33">
        <f>(I325+J325)*18%*24.2%</f>
        <v>1587.9207439040995</v>
      </c>
      <c r="S325" s="33">
        <f t="shared" si="77"/>
        <v>2617.7696886893837</v>
      </c>
      <c r="T325" s="34">
        <f t="shared" si="78"/>
        <v>71199.09819390591</v>
      </c>
      <c r="V325" s="7"/>
    </row>
    <row r="326" spans="1:22" s="5" customFormat="1" ht="12.75" hidden="1">
      <c r="A326" s="30" t="s">
        <v>10</v>
      </c>
      <c r="B326" s="31" t="s">
        <v>37</v>
      </c>
      <c r="C326" s="31">
        <v>5</v>
      </c>
      <c r="D326" s="31" t="s">
        <v>34</v>
      </c>
      <c r="E326" s="32" t="s">
        <v>52</v>
      </c>
      <c r="F326" s="45" t="s">
        <v>53</v>
      </c>
      <c r="G326" s="45"/>
      <c r="H326" s="45"/>
      <c r="I326" s="33">
        <f t="shared" si="74"/>
        <v>35967.07153846188</v>
      </c>
      <c r="J326" s="33">
        <f t="shared" si="74"/>
        <v>14386.82620374359</v>
      </c>
      <c r="K326" s="33">
        <f t="shared" si="74"/>
        <v>10830.969839480169</v>
      </c>
      <c r="L326" s="33">
        <f t="shared" si="74"/>
        <v>11486.550371989719</v>
      </c>
      <c r="M326" s="33">
        <f t="shared" si="79"/>
        <v>4196.158145183789</v>
      </c>
      <c r="N326" s="33">
        <f t="shared" si="80"/>
        <v>902.5808199566808</v>
      </c>
      <c r="O326" s="33">
        <f t="shared" si="81"/>
        <v>77770.15691881583</v>
      </c>
      <c r="P326" s="33">
        <f t="shared" si="75"/>
        <v>6610.4633380993455</v>
      </c>
      <c r="Q326" s="33">
        <f t="shared" si="76"/>
        <v>18820.37797435343</v>
      </c>
      <c r="R326" s="33"/>
      <c r="S326" s="33">
        <f t="shared" si="77"/>
        <v>3498.3225808773177</v>
      </c>
      <c r="T326" s="34">
        <f t="shared" si="78"/>
        <v>106699.32081214592</v>
      </c>
      <c r="V326" s="7"/>
    </row>
    <row r="327" spans="1:22" s="5" customFormat="1" ht="12.75" hidden="1">
      <c r="A327" s="30" t="s">
        <v>10</v>
      </c>
      <c r="B327" s="31" t="s">
        <v>37</v>
      </c>
      <c r="C327" s="31">
        <v>6</v>
      </c>
      <c r="D327" s="31" t="s">
        <v>31</v>
      </c>
      <c r="E327" s="32" t="s">
        <v>54</v>
      </c>
      <c r="F327" s="45" t="s">
        <v>55</v>
      </c>
      <c r="G327" s="45"/>
      <c r="H327" s="45"/>
      <c r="I327" s="33">
        <f t="shared" si="74"/>
        <v>26038.308714558825</v>
      </c>
      <c r="J327" s="33">
        <f t="shared" si="74"/>
        <v>12498.402652835186</v>
      </c>
      <c r="K327" s="33">
        <f t="shared" si="74"/>
        <v>10147.763957500722</v>
      </c>
      <c r="L327" s="33">
        <f t="shared" si="74"/>
        <v>0</v>
      </c>
      <c r="M327" s="33">
        <f t="shared" si="79"/>
        <v>3211.392613949501</v>
      </c>
      <c r="N327" s="33">
        <f t="shared" si="80"/>
        <v>845.6469964583935</v>
      </c>
      <c r="O327" s="33">
        <f t="shared" si="81"/>
        <v>52741.51493530263</v>
      </c>
      <c r="P327" s="33">
        <f t="shared" si="75"/>
        <v>4483.028769500724</v>
      </c>
      <c r="Q327" s="33">
        <f t="shared" si="76"/>
        <v>12763.446614343235</v>
      </c>
      <c r="R327" s="33">
        <f>(I327+J327)*18%*24.2%</f>
        <v>1678.659147163683</v>
      </c>
      <c r="S327" s="33">
        <f t="shared" si="77"/>
        <v>2745.9477514512378</v>
      </c>
      <c r="T327" s="34">
        <f t="shared" si="78"/>
        <v>74412.5972177615</v>
      </c>
      <c r="V327" s="7"/>
    </row>
    <row r="328" spans="1:22" s="5" customFormat="1" ht="12.75" hidden="1">
      <c r="A328" s="30" t="s">
        <v>10</v>
      </c>
      <c r="B328" s="31" t="s">
        <v>37</v>
      </c>
      <c r="C328" s="31">
        <v>6</v>
      </c>
      <c r="D328" s="31" t="s">
        <v>34</v>
      </c>
      <c r="E328" s="32" t="s">
        <v>56</v>
      </c>
      <c r="F328" s="45" t="s">
        <v>57</v>
      </c>
      <c r="G328" s="45"/>
      <c r="H328" s="45"/>
      <c r="I328" s="33">
        <f t="shared" si="74"/>
        <v>35967.07153846188</v>
      </c>
      <c r="J328" s="33">
        <f t="shared" si="74"/>
        <v>17264.19144449231</v>
      </c>
      <c r="K328" s="33">
        <f t="shared" si="74"/>
        <v>10830.969839480169</v>
      </c>
      <c r="L328" s="33">
        <f t="shared" si="74"/>
        <v>12762.83910585782</v>
      </c>
      <c r="M328" s="33">
        <f t="shared" si="79"/>
        <v>4435.938581912849</v>
      </c>
      <c r="N328" s="33">
        <f t="shared" si="80"/>
        <v>902.5808199566808</v>
      </c>
      <c r="O328" s="33">
        <f t="shared" si="81"/>
        <v>82163.59133016171</v>
      </c>
      <c r="P328" s="33">
        <f t="shared" si="75"/>
        <v>6983.905263063746</v>
      </c>
      <c r="Q328" s="33">
        <f t="shared" si="76"/>
        <v>19883.589101899135</v>
      </c>
      <c r="R328" s="33"/>
      <c r="S328" s="33">
        <f t="shared" si="77"/>
        <v>3675.3764553580554</v>
      </c>
      <c r="T328" s="34">
        <f t="shared" si="78"/>
        <v>112706.46215048265</v>
      </c>
      <c r="V328" s="7"/>
    </row>
    <row r="329" spans="1:22" s="5" customFormat="1" ht="12.75" hidden="1">
      <c r="A329" s="30" t="s">
        <v>10</v>
      </c>
      <c r="B329" s="31" t="s">
        <v>37</v>
      </c>
      <c r="C329" s="31">
        <v>7</v>
      </c>
      <c r="D329" s="31" t="s">
        <v>34</v>
      </c>
      <c r="E329" s="32" t="s">
        <v>58</v>
      </c>
      <c r="F329" s="45" t="s">
        <v>59</v>
      </c>
      <c r="G329" s="45"/>
      <c r="H329" s="45"/>
      <c r="I329" s="33">
        <f aca="true" t="shared" si="82" ref="I329:L344">I252*1.0377</f>
        <v>35967.07153846188</v>
      </c>
      <c r="J329" s="33">
        <f t="shared" si="82"/>
        <v>20458.07252908011</v>
      </c>
      <c r="K329" s="33">
        <f t="shared" si="82"/>
        <v>10830.969839480169</v>
      </c>
      <c r="L329" s="33">
        <f t="shared" si="82"/>
        <v>12762.83910585782</v>
      </c>
      <c r="M329" s="33">
        <f t="shared" si="79"/>
        <v>4702.095338961833</v>
      </c>
      <c r="N329" s="33">
        <f t="shared" si="80"/>
        <v>902.5808199566808</v>
      </c>
      <c r="O329" s="33">
        <f t="shared" si="81"/>
        <v>85623.62917179849</v>
      </c>
      <c r="P329" s="33">
        <f t="shared" si="75"/>
        <v>7278.008479602871</v>
      </c>
      <c r="Q329" s="33">
        <f t="shared" si="76"/>
        <v>20720.91825957523</v>
      </c>
      <c r="R329" s="33"/>
      <c r="S329" s="33">
        <f t="shared" si="77"/>
        <v>3871.9066047630245</v>
      </c>
      <c r="T329" s="34">
        <f t="shared" si="78"/>
        <v>117494.46251573961</v>
      </c>
      <c r="V329" s="7"/>
    </row>
    <row r="330" spans="1:22" s="5" customFormat="1" ht="12.75" hidden="1">
      <c r="A330" s="30" t="s">
        <v>10</v>
      </c>
      <c r="B330" s="31" t="s">
        <v>37</v>
      </c>
      <c r="C330" s="31">
        <v>8</v>
      </c>
      <c r="D330" s="31" t="s">
        <v>34</v>
      </c>
      <c r="E330" s="32" t="s">
        <v>60</v>
      </c>
      <c r="F330" s="45" t="s">
        <v>61</v>
      </c>
      <c r="G330" s="45"/>
      <c r="H330" s="45"/>
      <c r="I330" s="33">
        <f t="shared" si="82"/>
        <v>35967.07153846188</v>
      </c>
      <c r="J330" s="33">
        <f t="shared" si="82"/>
        <v>23651.95361366791</v>
      </c>
      <c r="K330" s="33">
        <f t="shared" si="82"/>
        <v>10830.969839480169</v>
      </c>
      <c r="L330" s="33">
        <f t="shared" si="82"/>
        <v>12762.83910585782</v>
      </c>
      <c r="M330" s="33">
        <f t="shared" si="79"/>
        <v>4968.252096010816</v>
      </c>
      <c r="N330" s="33">
        <f t="shared" si="80"/>
        <v>902.5808199566808</v>
      </c>
      <c r="O330" s="33">
        <f t="shared" si="81"/>
        <v>89083.66701343526</v>
      </c>
      <c r="P330" s="33">
        <f t="shared" si="75"/>
        <v>7572.111696141997</v>
      </c>
      <c r="Q330" s="33">
        <f t="shared" si="76"/>
        <v>21558.247417251332</v>
      </c>
      <c r="R330" s="33"/>
      <c r="S330" s="33">
        <f t="shared" si="77"/>
        <v>4068.436754167994</v>
      </c>
      <c r="T330" s="34">
        <f t="shared" si="78"/>
        <v>122282.46288099658</v>
      </c>
      <c r="V330" s="7"/>
    </row>
    <row r="331" spans="1:22" s="5" customFormat="1" ht="12.75" hidden="1">
      <c r="A331" s="30" t="s">
        <v>10</v>
      </c>
      <c r="B331" s="31" t="s">
        <v>37</v>
      </c>
      <c r="C331" s="31">
        <v>9</v>
      </c>
      <c r="D331" s="31" t="s">
        <v>34</v>
      </c>
      <c r="E331" s="32" t="s">
        <v>62</v>
      </c>
      <c r="F331" s="45" t="s">
        <v>63</v>
      </c>
      <c r="G331" s="45"/>
      <c r="H331" s="45"/>
      <c r="I331" s="33">
        <f t="shared" si="82"/>
        <v>35967.07153846188</v>
      </c>
      <c r="J331" s="33">
        <f t="shared" si="82"/>
        <v>26845.822640049915</v>
      </c>
      <c r="K331" s="33">
        <f t="shared" si="82"/>
        <v>10830.969839480169</v>
      </c>
      <c r="L331" s="33">
        <f t="shared" si="82"/>
        <v>12762.83910585782</v>
      </c>
      <c r="M331" s="33">
        <f t="shared" si="79"/>
        <v>5234.407848209316</v>
      </c>
      <c r="N331" s="33">
        <f t="shared" si="80"/>
        <v>902.5808199566808</v>
      </c>
      <c r="O331" s="33">
        <f t="shared" si="81"/>
        <v>92543.69179201579</v>
      </c>
      <c r="P331" s="33">
        <f t="shared" si="75"/>
        <v>7866.213802321341</v>
      </c>
      <c r="Q331" s="33">
        <f t="shared" si="76"/>
        <v>22395.57341366782</v>
      </c>
      <c r="R331" s="33"/>
      <c r="S331" s="33">
        <f t="shared" si="77"/>
        <v>4264.966161591367</v>
      </c>
      <c r="T331" s="34">
        <f t="shared" si="78"/>
        <v>127070.4451695963</v>
      </c>
      <c r="V331" s="7"/>
    </row>
    <row r="332" spans="1:22" s="5" customFormat="1" ht="12.75" hidden="1">
      <c r="A332" s="30" t="s">
        <v>10</v>
      </c>
      <c r="B332" s="31" t="s">
        <v>37</v>
      </c>
      <c r="C332" s="31">
        <v>10</v>
      </c>
      <c r="D332" s="31" t="s">
        <v>34</v>
      </c>
      <c r="E332" s="32" t="s">
        <v>64</v>
      </c>
      <c r="F332" s="45" t="s">
        <v>65</v>
      </c>
      <c r="G332" s="45"/>
      <c r="H332" s="45"/>
      <c r="I332" s="33">
        <f t="shared" si="82"/>
        <v>35967.07153846188</v>
      </c>
      <c r="J332" s="33">
        <f t="shared" si="82"/>
        <v>30039.70372463772</v>
      </c>
      <c r="K332" s="33">
        <f t="shared" si="82"/>
        <v>10830.969839480169</v>
      </c>
      <c r="L332" s="33">
        <f t="shared" si="82"/>
        <v>12762.83910585782</v>
      </c>
      <c r="M332" s="33">
        <f t="shared" si="79"/>
        <v>5500.5646052583</v>
      </c>
      <c r="N332" s="33">
        <f t="shared" si="80"/>
        <v>902.5808199566808</v>
      </c>
      <c r="O332" s="33">
        <f t="shared" si="81"/>
        <v>96003.72963365258</v>
      </c>
      <c r="P332" s="33">
        <f t="shared" si="75"/>
        <v>8160.317018860469</v>
      </c>
      <c r="Q332" s="33">
        <f t="shared" si="76"/>
        <v>23232.902571343922</v>
      </c>
      <c r="R332" s="33"/>
      <c r="S332" s="33">
        <f t="shared" si="77"/>
        <v>4461.496310996336</v>
      </c>
      <c r="T332" s="34">
        <f t="shared" si="78"/>
        <v>131858.4455348533</v>
      </c>
      <c r="V332" s="7"/>
    </row>
    <row r="333" spans="1:22" s="5" customFormat="1" ht="12.75" hidden="1">
      <c r="A333" s="30" t="s">
        <v>10</v>
      </c>
      <c r="B333" s="31" t="s">
        <v>37</v>
      </c>
      <c r="C333" s="31">
        <v>11</v>
      </c>
      <c r="D333" s="31" t="s">
        <v>34</v>
      </c>
      <c r="E333" s="32" t="s">
        <v>66</v>
      </c>
      <c r="F333" s="45" t="s">
        <v>67</v>
      </c>
      <c r="G333" s="45"/>
      <c r="H333" s="45"/>
      <c r="I333" s="33">
        <f t="shared" si="82"/>
        <v>35967.07153846188</v>
      </c>
      <c r="J333" s="33">
        <f t="shared" si="82"/>
        <v>33233.572751019725</v>
      </c>
      <c r="K333" s="33">
        <f t="shared" si="82"/>
        <v>10830.969839480169</v>
      </c>
      <c r="L333" s="33">
        <f t="shared" si="82"/>
        <v>12762.83910585782</v>
      </c>
      <c r="M333" s="33">
        <f t="shared" si="79"/>
        <v>5766.7203574568</v>
      </c>
      <c r="N333" s="33">
        <f t="shared" si="80"/>
        <v>902.5808199566808</v>
      </c>
      <c r="O333" s="33">
        <f t="shared" si="81"/>
        <v>99463.75441223306</v>
      </c>
      <c r="P333" s="33">
        <f t="shared" si="75"/>
        <v>8454.41912503981</v>
      </c>
      <c r="Q333" s="33">
        <f t="shared" si="76"/>
        <v>24070.2285677604</v>
      </c>
      <c r="R333" s="33"/>
      <c r="S333" s="33">
        <f t="shared" si="77"/>
        <v>4658.025718419709</v>
      </c>
      <c r="T333" s="34">
        <f t="shared" si="78"/>
        <v>136646.42782345298</v>
      </c>
      <c r="V333" s="7"/>
    </row>
    <row r="334" spans="1:22" s="5" customFormat="1" ht="12.75" hidden="1">
      <c r="A334" s="30" t="s">
        <v>10</v>
      </c>
      <c r="B334" s="31" t="s">
        <v>37</v>
      </c>
      <c r="C334" s="31">
        <v>12</v>
      </c>
      <c r="D334" s="31" t="s">
        <v>34</v>
      </c>
      <c r="E334" s="32" t="s">
        <v>68</v>
      </c>
      <c r="F334" s="45" t="s">
        <v>69</v>
      </c>
      <c r="G334" s="45"/>
      <c r="H334" s="45"/>
      <c r="I334" s="33">
        <f t="shared" si="82"/>
        <v>35967.07153846188</v>
      </c>
      <c r="J334" s="33">
        <f t="shared" si="82"/>
        <v>36427.45383560752</v>
      </c>
      <c r="K334" s="33">
        <f t="shared" si="82"/>
        <v>10830.969839480169</v>
      </c>
      <c r="L334" s="33">
        <f t="shared" si="82"/>
        <v>12762.83910585782</v>
      </c>
      <c r="M334" s="33">
        <f t="shared" si="79"/>
        <v>6032.8771145057835</v>
      </c>
      <c r="N334" s="33">
        <f t="shared" si="80"/>
        <v>902.5808199566808</v>
      </c>
      <c r="O334" s="33">
        <f t="shared" si="81"/>
        <v>102923.79225386985</v>
      </c>
      <c r="P334" s="33">
        <f t="shared" si="75"/>
        <v>8748.522341578937</v>
      </c>
      <c r="Q334" s="33">
        <f t="shared" si="76"/>
        <v>24907.5577254365</v>
      </c>
      <c r="R334" s="49">
        <v>62.52</v>
      </c>
      <c r="S334" s="33">
        <f t="shared" si="77"/>
        <v>4854.555867824678</v>
      </c>
      <c r="T334" s="34">
        <f>O334+P334+Q334+R334+S334</f>
        <v>141496.94818870994</v>
      </c>
      <c r="V334" s="7"/>
    </row>
    <row r="335" spans="1:22" s="5" customFormat="1" ht="12.75" hidden="1">
      <c r="A335" s="30" t="s">
        <v>10</v>
      </c>
      <c r="B335" s="31" t="s">
        <v>37</v>
      </c>
      <c r="C335" s="31">
        <v>13</v>
      </c>
      <c r="D335" s="31" t="s">
        <v>34</v>
      </c>
      <c r="E335" s="32" t="s">
        <v>70</v>
      </c>
      <c r="F335" s="45" t="s">
        <v>71</v>
      </c>
      <c r="G335" s="45"/>
      <c r="H335" s="45"/>
      <c r="I335" s="33">
        <f t="shared" si="82"/>
        <v>35967.07153846188</v>
      </c>
      <c r="J335" s="33">
        <f t="shared" si="82"/>
        <v>39621.334920195324</v>
      </c>
      <c r="K335" s="33">
        <f t="shared" si="82"/>
        <v>10830.969839480169</v>
      </c>
      <c r="L335" s="33">
        <f t="shared" si="82"/>
        <v>12762.83910585782</v>
      </c>
      <c r="M335" s="33">
        <f t="shared" si="79"/>
        <v>6299.033871554767</v>
      </c>
      <c r="N335" s="33">
        <f t="shared" si="80"/>
        <v>902.5808199566808</v>
      </c>
      <c r="O335" s="33">
        <f t="shared" si="81"/>
        <v>106383.83009550664</v>
      </c>
      <c r="P335" s="33">
        <f t="shared" si="75"/>
        <v>9042.625558118065</v>
      </c>
      <c r="Q335" s="33">
        <f t="shared" si="76"/>
        <v>25744.886883112606</v>
      </c>
      <c r="R335" s="49">
        <v>196.61</v>
      </c>
      <c r="S335" s="33">
        <f t="shared" si="77"/>
        <v>5051.086017229647</v>
      </c>
      <c r="T335" s="34">
        <f>O335+P335+Q335+R335+S335</f>
        <v>146419.03855396694</v>
      </c>
      <c r="V335" s="7"/>
    </row>
    <row r="336" spans="1:22" s="5" customFormat="1" ht="13.5" hidden="1" thickBot="1">
      <c r="A336" s="35" t="s">
        <v>10</v>
      </c>
      <c r="B336" s="36" t="s">
        <v>37</v>
      </c>
      <c r="C336" s="36">
        <v>14</v>
      </c>
      <c r="D336" s="36" t="s">
        <v>34</v>
      </c>
      <c r="E336" s="37" t="s">
        <v>72</v>
      </c>
      <c r="F336" s="46" t="s">
        <v>73</v>
      </c>
      <c r="G336" s="46"/>
      <c r="H336" s="46"/>
      <c r="I336" s="38">
        <f t="shared" si="82"/>
        <v>35967.07153846188</v>
      </c>
      <c r="J336" s="38">
        <f t="shared" si="82"/>
        <v>42815.20394657733</v>
      </c>
      <c r="K336" s="38">
        <f t="shared" si="82"/>
        <v>10830.969839480169</v>
      </c>
      <c r="L336" s="38">
        <f t="shared" si="82"/>
        <v>12762.83910585782</v>
      </c>
      <c r="M336" s="38">
        <f t="shared" si="79"/>
        <v>6565.189623753267</v>
      </c>
      <c r="N336" s="38">
        <f t="shared" si="80"/>
        <v>902.5808199566808</v>
      </c>
      <c r="O336" s="38">
        <f t="shared" si="81"/>
        <v>109843.85487408715</v>
      </c>
      <c r="P336" s="38">
        <f t="shared" si="75"/>
        <v>9336.727664297407</v>
      </c>
      <c r="Q336" s="38">
        <f t="shared" si="76"/>
        <v>26582.21287952909</v>
      </c>
      <c r="R336" s="50">
        <v>330.68</v>
      </c>
      <c r="S336" s="38">
        <f t="shared" si="77"/>
        <v>5247.6154246530195</v>
      </c>
      <c r="T336" s="39">
        <f>O336+P336+Q336+R336+S336</f>
        <v>151341.09084256666</v>
      </c>
      <c r="V336" s="7"/>
    </row>
    <row r="337" spans="1:22" s="5" customFormat="1" ht="13.5" hidden="1" thickTop="1">
      <c r="A337" s="25" t="s">
        <v>9</v>
      </c>
      <c r="B337" s="26" t="s">
        <v>74</v>
      </c>
      <c r="C337" s="26">
        <v>0</v>
      </c>
      <c r="D337" s="26" t="s">
        <v>31</v>
      </c>
      <c r="E337" s="27" t="s">
        <v>75</v>
      </c>
      <c r="F337" s="47" t="s">
        <v>76</v>
      </c>
      <c r="G337" s="48"/>
      <c r="H337" s="48"/>
      <c r="I337" s="33">
        <f t="shared" si="82"/>
        <v>17201.717880282995</v>
      </c>
      <c r="J337" s="33">
        <f t="shared" si="82"/>
        <v>0</v>
      </c>
      <c r="K337" s="33">
        <f t="shared" si="82"/>
        <v>9539.716872223971</v>
      </c>
      <c r="L337" s="33">
        <f t="shared" si="82"/>
        <v>0</v>
      </c>
      <c r="M337" s="28">
        <f t="shared" si="79"/>
        <v>1433.476490023583</v>
      </c>
      <c r="N337" s="28">
        <f t="shared" si="80"/>
        <v>794.9764060186643</v>
      </c>
      <c r="O337" s="28">
        <f t="shared" si="81"/>
        <v>28969.887648549215</v>
      </c>
      <c r="P337" s="28">
        <f t="shared" si="75"/>
        <v>2462.440450126683</v>
      </c>
      <c r="Q337" s="28">
        <f t="shared" si="76"/>
        <v>7010.71281094891</v>
      </c>
      <c r="R337" s="28">
        <f>(I337+J337)*18%*24.2%</f>
        <v>749.3068308651273</v>
      </c>
      <c r="S337" s="28">
        <f t="shared" si="77"/>
        <v>1410.6853871559226</v>
      </c>
      <c r="T337" s="29">
        <f>O337+P337+Q337+R337+S337</f>
        <v>40603.03312764586</v>
      </c>
      <c r="V337" s="7"/>
    </row>
    <row r="338" spans="1:22" s="5" customFormat="1" ht="12.75" hidden="1">
      <c r="A338" s="30" t="s">
        <v>9</v>
      </c>
      <c r="B338" s="31" t="s">
        <v>74</v>
      </c>
      <c r="C338" s="31">
        <v>0</v>
      </c>
      <c r="D338" s="31" t="s">
        <v>34</v>
      </c>
      <c r="E338" s="32" t="s">
        <v>77</v>
      </c>
      <c r="F338" s="45" t="s">
        <v>78</v>
      </c>
      <c r="G338" s="45"/>
      <c r="H338" s="45"/>
      <c r="I338" s="33">
        <f t="shared" si="82"/>
        <v>23595.834723911077</v>
      </c>
      <c r="J338" s="33">
        <f t="shared" si="82"/>
        <v>0</v>
      </c>
      <c r="K338" s="33">
        <f t="shared" si="82"/>
        <v>9979.684626963448</v>
      </c>
      <c r="L338" s="33">
        <f t="shared" si="82"/>
        <v>5360.39097747559</v>
      </c>
      <c r="M338" s="33">
        <f t="shared" si="79"/>
        <v>1966.319560325923</v>
      </c>
      <c r="N338" s="33">
        <f t="shared" si="80"/>
        <v>831.6403855802873</v>
      </c>
      <c r="O338" s="33">
        <f t="shared" si="81"/>
        <v>41733.870274256326</v>
      </c>
      <c r="P338" s="33">
        <f t="shared" si="75"/>
        <v>3547.378973311788</v>
      </c>
      <c r="Q338" s="33">
        <f t="shared" si="76"/>
        <v>10099.59660637003</v>
      </c>
      <c r="R338" s="33"/>
      <c r="S338" s="33">
        <f t="shared" si="77"/>
        <v>1820.3803197721522</v>
      </c>
      <c r="T338" s="34">
        <f aca="true" t="shared" si="83" ref="T338:T380">O338+P338+Q338+R338+S338</f>
        <v>57201.226173710296</v>
      </c>
      <c r="V338" s="7"/>
    </row>
    <row r="339" spans="1:22" s="5" customFormat="1" ht="12.75" hidden="1">
      <c r="A339" s="30" t="s">
        <v>9</v>
      </c>
      <c r="B339" s="31" t="s">
        <v>79</v>
      </c>
      <c r="C339" s="31">
        <v>0</v>
      </c>
      <c r="D339" s="31" t="s">
        <v>31</v>
      </c>
      <c r="E339" s="32" t="s">
        <v>80</v>
      </c>
      <c r="F339" s="45"/>
      <c r="G339" s="45"/>
      <c r="H339" s="45"/>
      <c r="I339" s="33">
        <f t="shared" si="82"/>
        <v>18591.739611182984</v>
      </c>
      <c r="J339" s="33">
        <f t="shared" si="82"/>
        <v>0</v>
      </c>
      <c r="K339" s="33">
        <f t="shared" si="82"/>
        <v>9635.374618773378</v>
      </c>
      <c r="L339" s="33">
        <f t="shared" si="82"/>
        <v>0</v>
      </c>
      <c r="M339" s="33">
        <f t="shared" si="79"/>
        <v>1549.3116342652486</v>
      </c>
      <c r="N339" s="33">
        <f t="shared" si="80"/>
        <v>802.9478848977815</v>
      </c>
      <c r="O339" s="33">
        <f t="shared" si="81"/>
        <v>30579.373749119393</v>
      </c>
      <c r="P339" s="33">
        <f t="shared" si="75"/>
        <v>2599.2467686751484</v>
      </c>
      <c r="Q339" s="33">
        <f t="shared" si="76"/>
        <v>7400.208447286893</v>
      </c>
      <c r="R339" s="33">
        <f>(I339+J339)*18%*24.2%</f>
        <v>809.8561774631307</v>
      </c>
      <c r="S339" s="33">
        <f t="shared" si="77"/>
        <v>1499.7497416665726</v>
      </c>
      <c r="T339" s="34">
        <f t="shared" si="83"/>
        <v>42888.43488421114</v>
      </c>
      <c r="V339" s="7"/>
    </row>
    <row r="340" spans="1:22" s="5" customFormat="1" ht="12.75" hidden="1">
      <c r="A340" s="30" t="s">
        <v>9</v>
      </c>
      <c r="B340" s="31" t="s">
        <v>79</v>
      </c>
      <c r="C340" s="31">
        <v>0</v>
      </c>
      <c r="D340" s="31" t="s">
        <v>34</v>
      </c>
      <c r="E340" s="32" t="s">
        <v>81</v>
      </c>
      <c r="F340" s="45" t="s">
        <v>82</v>
      </c>
      <c r="G340" s="45"/>
      <c r="H340" s="45"/>
      <c r="I340" s="33">
        <f t="shared" si="82"/>
        <v>25541.872382094545</v>
      </c>
      <c r="J340" s="33">
        <f t="shared" si="82"/>
        <v>0</v>
      </c>
      <c r="K340" s="33">
        <f t="shared" si="82"/>
        <v>10113.59100228567</v>
      </c>
      <c r="L340" s="33">
        <f t="shared" si="82"/>
        <v>5360.39097747559</v>
      </c>
      <c r="M340" s="33">
        <f t="shared" si="79"/>
        <v>2128.4893651745456</v>
      </c>
      <c r="N340" s="33">
        <f t="shared" si="80"/>
        <v>842.7992501904724</v>
      </c>
      <c r="O340" s="33">
        <f t="shared" si="81"/>
        <v>43987.14297722082</v>
      </c>
      <c r="P340" s="33">
        <f t="shared" si="75"/>
        <v>3738.90715306377</v>
      </c>
      <c r="Q340" s="33">
        <f t="shared" si="76"/>
        <v>10644.888600487438</v>
      </c>
      <c r="R340" s="33"/>
      <c r="S340" s="33">
        <f t="shared" si="77"/>
        <v>1945.070327049271</v>
      </c>
      <c r="T340" s="34">
        <f t="shared" si="83"/>
        <v>60316.0090578213</v>
      </c>
      <c r="V340" s="7"/>
    </row>
    <row r="341" spans="1:22" s="5" customFormat="1" ht="12.75" hidden="1">
      <c r="A341" s="30" t="s">
        <v>9</v>
      </c>
      <c r="B341" s="31" t="s">
        <v>79</v>
      </c>
      <c r="C341" s="31">
        <v>1</v>
      </c>
      <c r="D341" s="31" t="s">
        <v>31</v>
      </c>
      <c r="E341" s="32" t="s">
        <v>83</v>
      </c>
      <c r="F341" s="45"/>
      <c r="G341" s="45"/>
      <c r="H341" s="45"/>
      <c r="I341" s="33">
        <f t="shared" si="82"/>
        <v>18591.739611182984</v>
      </c>
      <c r="J341" s="33">
        <f t="shared" si="82"/>
        <v>1487.3435098487244</v>
      </c>
      <c r="K341" s="33">
        <f t="shared" si="82"/>
        <v>9635.374618773378</v>
      </c>
      <c r="L341" s="33">
        <f t="shared" si="82"/>
        <v>0</v>
      </c>
      <c r="M341" s="33">
        <f t="shared" si="79"/>
        <v>1673.2569267526424</v>
      </c>
      <c r="N341" s="33">
        <f t="shared" si="80"/>
        <v>802.9478848977815</v>
      </c>
      <c r="O341" s="33">
        <f t="shared" si="81"/>
        <v>32190.66255145551</v>
      </c>
      <c r="P341" s="33">
        <f t="shared" si="75"/>
        <v>2736.206316873718</v>
      </c>
      <c r="Q341" s="33">
        <f t="shared" si="76"/>
        <v>7790.140337452233</v>
      </c>
      <c r="R341" s="33">
        <f>(I341+J341)*18%*24.2%</f>
        <v>874.6448607521412</v>
      </c>
      <c r="S341" s="33">
        <f t="shared" si="77"/>
        <v>1591.270945639264</v>
      </c>
      <c r="T341" s="34">
        <f t="shared" si="83"/>
        <v>45182.92501217286</v>
      </c>
      <c r="V341" s="7"/>
    </row>
    <row r="342" spans="1:22" s="5" customFormat="1" ht="12.75" hidden="1">
      <c r="A342" s="30" t="s">
        <v>9</v>
      </c>
      <c r="B342" s="31" t="s">
        <v>79</v>
      </c>
      <c r="C342" s="31">
        <v>1</v>
      </c>
      <c r="D342" s="31" t="s">
        <v>34</v>
      </c>
      <c r="E342" s="32" t="s">
        <v>84</v>
      </c>
      <c r="F342" s="45"/>
      <c r="G342" s="45"/>
      <c r="H342" s="45"/>
      <c r="I342" s="33">
        <f t="shared" si="82"/>
        <v>25541.872382094545</v>
      </c>
      <c r="J342" s="33">
        <f t="shared" si="82"/>
        <v>2043.3473789264049</v>
      </c>
      <c r="K342" s="33">
        <f t="shared" si="82"/>
        <v>10113.59100228567</v>
      </c>
      <c r="L342" s="33">
        <f t="shared" si="82"/>
        <v>6253.795502824416</v>
      </c>
      <c r="M342" s="33">
        <f t="shared" si="79"/>
        <v>2298.7683134184126</v>
      </c>
      <c r="N342" s="33">
        <f t="shared" si="80"/>
        <v>842.7992501904724</v>
      </c>
      <c r="O342" s="33">
        <f t="shared" si="81"/>
        <v>47094.17382973993</v>
      </c>
      <c r="P342" s="33">
        <f t="shared" si="75"/>
        <v>4003.004775527894</v>
      </c>
      <c r="Q342" s="33">
        <f t="shared" si="76"/>
        <v>11396.790066797063</v>
      </c>
      <c r="R342" s="33"/>
      <c r="S342" s="33">
        <f t="shared" si="77"/>
        <v>2070.8043024325425</v>
      </c>
      <c r="T342" s="34">
        <f t="shared" si="83"/>
        <v>64564.77297449743</v>
      </c>
      <c r="V342" s="7"/>
    </row>
    <row r="343" spans="1:22" s="5" customFormat="1" ht="12.75" hidden="1">
      <c r="A343" s="30" t="s">
        <v>9</v>
      </c>
      <c r="B343" s="31" t="s">
        <v>79</v>
      </c>
      <c r="C343" s="31">
        <v>2</v>
      </c>
      <c r="D343" s="31" t="s">
        <v>31</v>
      </c>
      <c r="E343" s="32" t="s">
        <v>85</v>
      </c>
      <c r="F343" s="45"/>
      <c r="G343" s="45"/>
      <c r="H343" s="45"/>
      <c r="I343" s="33">
        <f t="shared" si="82"/>
        <v>18591.739611182984</v>
      </c>
      <c r="J343" s="33">
        <f t="shared" si="82"/>
        <v>2974.6870196974487</v>
      </c>
      <c r="K343" s="33">
        <f t="shared" si="82"/>
        <v>9635.374618773378</v>
      </c>
      <c r="L343" s="33">
        <f t="shared" si="82"/>
        <v>0</v>
      </c>
      <c r="M343" s="33">
        <f t="shared" si="79"/>
        <v>1797.2022192400361</v>
      </c>
      <c r="N343" s="33">
        <f t="shared" si="80"/>
        <v>802.9478848977815</v>
      </c>
      <c r="O343" s="33">
        <f t="shared" si="81"/>
        <v>33801.95135379163</v>
      </c>
      <c r="P343" s="33">
        <f t="shared" si="75"/>
        <v>2873.1658650722884</v>
      </c>
      <c r="Q343" s="33">
        <f t="shared" si="76"/>
        <v>8180.072227617573</v>
      </c>
      <c r="R343" s="33">
        <f>(I343+J343)*18%*24.2%</f>
        <v>939.4335440411515</v>
      </c>
      <c r="S343" s="33">
        <f t="shared" si="77"/>
        <v>1682.7921496119557</v>
      </c>
      <c r="T343" s="34">
        <f t="shared" si="83"/>
        <v>47477.415140134595</v>
      </c>
      <c r="V343" s="7"/>
    </row>
    <row r="344" spans="1:22" s="5" customFormat="1" ht="12.75" hidden="1">
      <c r="A344" s="30" t="s">
        <v>9</v>
      </c>
      <c r="B344" s="31" t="s">
        <v>79</v>
      </c>
      <c r="C344" s="31">
        <v>2</v>
      </c>
      <c r="D344" s="31" t="s">
        <v>34</v>
      </c>
      <c r="E344" s="32" t="s">
        <v>86</v>
      </c>
      <c r="F344" s="45" t="s">
        <v>87</v>
      </c>
      <c r="G344" s="45"/>
      <c r="H344" s="45"/>
      <c r="I344" s="33">
        <f t="shared" si="82"/>
        <v>25541.872382094545</v>
      </c>
      <c r="J344" s="33">
        <f t="shared" si="82"/>
        <v>4086.6947578528097</v>
      </c>
      <c r="K344" s="33">
        <f t="shared" si="82"/>
        <v>10113.59100228567</v>
      </c>
      <c r="L344" s="33">
        <f t="shared" si="82"/>
        <v>6253.795502824416</v>
      </c>
      <c r="M344" s="33">
        <f t="shared" si="79"/>
        <v>2469.0472616622797</v>
      </c>
      <c r="N344" s="33">
        <f t="shared" si="80"/>
        <v>842.7992501904724</v>
      </c>
      <c r="O344" s="33">
        <f t="shared" si="81"/>
        <v>49307.80015691019</v>
      </c>
      <c r="P344" s="33">
        <f t="shared" si="75"/>
        <v>4191.1630133373665</v>
      </c>
      <c r="Q344" s="33">
        <f t="shared" si="76"/>
        <v>11932.487637972266</v>
      </c>
      <c r="R344" s="33"/>
      <c r="S344" s="33">
        <f t="shared" si="77"/>
        <v>2196.5382778158137</v>
      </c>
      <c r="T344" s="34">
        <f t="shared" si="83"/>
        <v>67627.98908603564</v>
      </c>
      <c r="V344" s="7"/>
    </row>
    <row r="345" spans="1:22" s="5" customFormat="1" ht="12.75" hidden="1">
      <c r="A345" s="30" t="s">
        <v>9</v>
      </c>
      <c r="B345" s="31" t="s">
        <v>79</v>
      </c>
      <c r="C345" s="31">
        <v>3</v>
      </c>
      <c r="D345" s="31" t="s">
        <v>31</v>
      </c>
      <c r="E345" s="32" t="s">
        <v>88</v>
      </c>
      <c r="F345" s="45" t="s">
        <v>89</v>
      </c>
      <c r="G345" s="45"/>
      <c r="H345" s="45"/>
      <c r="I345" s="33">
        <f aca="true" t="shared" si="84" ref="I345:L360">I268*1.0377</f>
        <v>18591.739611182984</v>
      </c>
      <c r="J345" s="33">
        <f t="shared" si="84"/>
        <v>4462.030529546173</v>
      </c>
      <c r="K345" s="33">
        <f t="shared" si="84"/>
        <v>9635.374618773378</v>
      </c>
      <c r="L345" s="33">
        <f t="shared" si="84"/>
        <v>0</v>
      </c>
      <c r="M345" s="33">
        <f t="shared" si="79"/>
        <v>1921.1475117274297</v>
      </c>
      <c r="N345" s="33">
        <f t="shared" si="80"/>
        <v>802.9478848977815</v>
      </c>
      <c r="O345" s="33">
        <f t="shared" si="81"/>
        <v>35413.240156127744</v>
      </c>
      <c r="P345" s="33">
        <f t="shared" si="75"/>
        <v>3010.125413270858</v>
      </c>
      <c r="Q345" s="33">
        <f t="shared" si="76"/>
        <v>8570.004117782913</v>
      </c>
      <c r="R345" s="33">
        <f>(I345+J345)*18%*24.2%</f>
        <v>1004.2222273301621</v>
      </c>
      <c r="S345" s="33">
        <f t="shared" si="77"/>
        <v>1774.313353584647</v>
      </c>
      <c r="T345" s="34">
        <f t="shared" si="83"/>
        <v>49771.90526809632</v>
      </c>
      <c r="V345" s="7"/>
    </row>
    <row r="346" spans="1:22" s="5" customFormat="1" ht="12.75" hidden="1">
      <c r="A346" s="30" t="s">
        <v>9</v>
      </c>
      <c r="B346" s="31" t="s">
        <v>79</v>
      </c>
      <c r="C346" s="31">
        <v>3</v>
      </c>
      <c r="D346" s="31" t="s">
        <v>34</v>
      </c>
      <c r="E346" s="32" t="s">
        <v>90</v>
      </c>
      <c r="F346" s="45" t="s">
        <v>91</v>
      </c>
      <c r="G346" s="45"/>
      <c r="H346" s="45"/>
      <c r="I346" s="33">
        <f t="shared" si="84"/>
        <v>25541.872382094545</v>
      </c>
      <c r="J346" s="33">
        <f t="shared" si="84"/>
        <v>6130.042136779214</v>
      </c>
      <c r="K346" s="33">
        <f t="shared" si="84"/>
        <v>10113.59100228567</v>
      </c>
      <c r="L346" s="33">
        <f t="shared" si="84"/>
        <v>7147.187969967453</v>
      </c>
      <c r="M346" s="33">
        <f t="shared" si="79"/>
        <v>2639.3262099061467</v>
      </c>
      <c r="N346" s="33">
        <f t="shared" si="80"/>
        <v>842.7992501904724</v>
      </c>
      <c r="O346" s="33">
        <f t="shared" si="81"/>
        <v>52414.818951223504</v>
      </c>
      <c r="P346" s="33">
        <f t="shared" si="75"/>
        <v>4455.259610853998</v>
      </c>
      <c r="Q346" s="33">
        <f t="shared" si="76"/>
        <v>12684.386186196087</v>
      </c>
      <c r="R346" s="33"/>
      <c r="S346" s="33">
        <f t="shared" si="77"/>
        <v>2322.2722531990853</v>
      </c>
      <c r="T346" s="34">
        <f t="shared" si="83"/>
        <v>71876.73700147268</v>
      </c>
      <c r="V346" s="7"/>
    </row>
    <row r="347" spans="1:22" s="5" customFormat="1" ht="12.75" hidden="1">
      <c r="A347" s="30" t="s">
        <v>9</v>
      </c>
      <c r="B347" s="31" t="s">
        <v>79</v>
      </c>
      <c r="C347" s="31">
        <v>4</v>
      </c>
      <c r="D347" s="31" t="s">
        <v>31</v>
      </c>
      <c r="E347" s="32" t="s">
        <v>92</v>
      </c>
      <c r="F347" s="45"/>
      <c r="G347" s="45"/>
      <c r="H347" s="45"/>
      <c r="I347" s="33">
        <f t="shared" si="84"/>
        <v>18591.739611182984</v>
      </c>
      <c r="J347" s="33">
        <f t="shared" si="84"/>
        <v>5949.374039394897</v>
      </c>
      <c r="K347" s="33">
        <f t="shared" si="84"/>
        <v>9635.374618773378</v>
      </c>
      <c r="L347" s="33">
        <f t="shared" si="84"/>
        <v>0</v>
      </c>
      <c r="M347" s="33">
        <f t="shared" si="79"/>
        <v>2045.0928042148234</v>
      </c>
      <c r="N347" s="33">
        <f t="shared" si="80"/>
        <v>802.9478848977815</v>
      </c>
      <c r="O347" s="33">
        <f t="shared" si="81"/>
        <v>37024.52895846387</v>
      </c>
      <c r="P347" s="33">
        <f t="shared" si="75"/>
        <v>3147.0849614694284</v>
      </c>
      <c r="Q347" s="33">
        <f t="shared" si="76"/>
        <v>8959.936007948256</v>
      </c>
      <c r="R347" s="33">
        <f>(I347+J347)*18%*24.2%</f>
        <v>1069.0109106191726</v>
      </c>
      <c r="S347" s="33">
        <f t="shared" si="77"/>
        <v>1865.8345575573385</v>
      </c>
      <c r="T347" s="34">
        <f t="shared" si="83"/>
        <v>52066.39539605807</v>
      </c>
      <c r="V347" s="7"/>
    </row>
    <row r="348" spans="1:22" s="5" customFormat="1" ht="12.75" hidden="1">
      <c r="A348" s="30" t="s">
        <v>9</v>
      </c>
      <c r="B348" s="31" t="s">
        <v>79</v>
      </c>
      <c r="C348" s="31">
        <v>4</v>
      </c>
      <c r="D348" s="31" t="s">
        <v>34</v>
      </c>
      <c r="E348" s="32" t="s">
        <v>93</v>
      </c>
      <c r="F348" s="45" t="s">
        <v>94</v>
      </c>
      <c r="G348" s="45"/>
      <c r="H348" s="45"/>
      <c r="I348" s="33">
        <f t="shared" si="84"/>
        <v>25541.872382094545</v>
      </c>
      <c r="J348" s="33">
        <f t="shared" si="84"/>
        <v>8173.3895157056195</v>
      </c>
      <c r="K348" s="33">
        <f t="shared" si="84"/>
        <v>10113.59100228567</v>
      </c>
      <c r="L348" s="33">
        <f t="shared" si="84"/>
        <v>7147.187969967453</v>
      </c>
      <c r="M348" s="33">
        <f t="shared" si="79"/>
        <v>2809.6051581500137</v>
      </c>
      <c r="N348" s="33">
        <f t="shared" si="80"/>
        <v>842.7992501904724</v>
      </c>
      <c r="O348" s="33">
        <f t="shared" si="81"/>
        <v>54628.445278393774</v>
      </c>
      <c r="P348" s="33">
        <f t="shared" si="75"/>
        <v>4643.417848663471</v>
      </c>
      <c r="Q348" s="33">
        <f t="shared" si="76"/>
        <v>13220.083757371292</v>
      </c>
      <c r="R348" s="33"/>
      <c r="S348" s="33">
        <f t="shared" si="77"/>
        <v>2448.006228582357</v>
      </c>
      <c r="T348" s="34">
        <f t="shared" si="83"/>
        <v>74939.95311301088</v>
      </c>
      <c r="V348" s="7"/>
    </row>
    <row r="349" spans="1:22" s="5" customFormat="1" ht="12.75" hidden="1">
      <c r="A349" s="30" t="s">
        <v>9</v>
      </c>
      <c r="B349" s="31" t="s">
        <v>79</v>
      </c>
      <c r="C349" s="31">
        <v>5</v>
      </c>
      <c r="D349" s="31" t="s">
        <v>31</v>
      </c>
      <c r="E349" s="32" t="s">
        <v>95</v>
      </c>
      <c r="F349" s="45"/>
      <c r="G349" s="45"/>
      <c r="H349" s="45"/>
      <c r="I349" s="33">
        <f t="shared" si="84"/>
        <v>18591.739611182984</v>
      </c>
      <c r="J349" s="33">
        <f t="shared" si="84"/>
        <v>7436.717549243622</v>
      </c>
      <c r="K349" s="33">
        <f t="shared" si="84"/>
        <v>9635.374618773378</v>
      </c>
      <c r="L349" s="33">
        <f t="shared" si="84"/>
        <v>0</v>
      </c>
      <c r="M349" s="33">
        <f t="shared" si="79"/>
        <v>2169.038096702217</v>
      </c>
      <c r="N349" s="33">
        <f t="shared" si="80"/>
        <v>802.9478848977815</v>
      </c>
      <c r="O349" s="33">
        <f t="shared" si="81"/>
        <v>38635.81776079998</v>
      </c>
      <c r="P349" s="33">
        <f t="shared" si="75"/>
        <v>3284.0445096679987</v>
      </c>
      <c r="Q349" s="33">
        <f t="shared" si="76"/>
        <v>9349.867898113596</v>
      </c>
      <c r="R349" s="33">
        <f>(I349+J349)*18%*24.2%</f>
        <v>1133.799593908183</v>
      </c>
      <c r="S349" s="33">
        <f t="shared" si="77"/>
        <v>1957.3557615300301</v>
      </c>
      <c r="T349" s="34">
        <f t="shared" si="83"/>
        <v>54360.88552401979</v>
      </c>
      <c r="V349" s="7"/>
    </row>
    <row r="350" spans="1:22" s="5" customFormat="1" ht="12.75" hidden="1">
      <c r="A350" s="30" t="s">
        <v>9</v>
      </c>
      <c r="B350" s="31" t="s">
        <v>79</v>
      </c>
      <c r="C350" s="31">
        <v>5</v>
      </c>
      <c r="D350" s="31" t="s">
        <v>34</v>
      </c>
      <c r="E350" s="32" t="s">
        <v>96</v>
      </c>
      <c r="F350" s="45" t="s">
        <v>97</v>
      </c>
      <c r="G350" s="45"/>
      <c r="H350" s="45"/>
      <c r="I350" s="33">
        <f t="shared" si="84"/>
        <v>25541.872382094545</v>
      </c>
      <c r="J350" s="33">
        <f t="shared" si="84"/>
        <v>10216.73689463203</v>
      </c>
      <c r="K350" s="33">
        <f t="shared" si="84"/>
        <v>10113.59100228567</v>
      </c>
      <c r="L350" s="33">
        <f t="shared" si="84"/>
        <v>8040.592495316278</v>
      </c>
      <c r="M350" s="33">
        <f t="shared" si="79"/>
        <v>2979.884106393881</v>
      </c>
      <c r="N350" s="33">
        <f t="shared" si="80"/>
        <v>842.7992501904724</v>
      </c>
      <c r="O350" s="33">
        <f t="shared" si="81"/>
        <v>57735.47613091287</v>
      </c>
      <c r="P350" s="33">
        <f t="shared" si="75"/>
        <v>4907.5154711275945</v>
      </c>
      <c r="Q350" s="33">
        <f t="shared" si="76"/>
        <v>13971.985223680915</v>
      </c>
      <c r="R350" s="33"/>
      <c r="S350" s="33">
        <f t="shared" si="77"/>
        <v>2573.7402039656286</v>
      </c>
      <c r="T350" s="34">
        <f t="shared" si="83"/>
        <v>79188.71702968702</v>
      </c>
      <c r="V350" s="7"/>
    </row>
    <row r="351" spans="1:22" s="5" customFormat="1" ht="12.75" hidden="1">
      <c r="A351" s="30" t="s">
        <v>9</v>
      </c>
      <c r="B351" s="31" t="s">
        <v>79</v>
      </c>
      <c r="C351" s="31">
        <v>6</v>
      </c>
      <c r="D351" s="31" t="s">
        <v>31</v>
      </c>
      <c r="E351" s="32" t="s">
        <v>98</v>
      </c>
      <c r="F351" s="45" t="s">
        <v>99</v>
      </c>
      <c r="G351" s="45"/>
      <c r="H351" s="45"/>
      <c r="I351" s="33">
        <f t="shared" si="84"/>
        <v>18591.739611182984</v>
      </c>
      <c r="J351" s="33">
        <f t="shared" si="84"/>
        <v>8924.061059092346</v>
      </c>
      <c r="K351" s="33">
        <f t="shared" si="84"/>
        <v>9635.374618773378</v>
      </c>
      <c r="L351" s="33">
        <f t="shared" si="84"/>
        <v>0</v>
      </c>
      <c r="M351" s="33">
        <f t="shared" si="79"/>
        <v>2292.983389189611</v>
      </c>
      <c r="N351" s="33">
        <f t="shared" si="80"/>
        <v>802.9478848977815</v>
      </c>
      <c r="O351" s="33">
        <f t="shared" si="81"/>
        <v>40247.106563136105</v>
      </c>
      <c r="P351" s="33">
        <f t="shared" si="75"/>
        <v>3421.004057866569</v>
      </c>
      <c r="Q351" s="33">
        <f t="shared" si="76"/>
        <v>9739.799788278937</v>
      </c>
      <c r="R351" s="33">
        <f>(I351+J351)*18%*24.2%</f>
        <v>1198.5882771971933</v>
      </c>
      <c r="S351" s="33">
        <f t="shared" si="77"/>
        <v>2048.8769655027218</v>
      </c>
      <c r="T351" s="34">
        <f t="shared" si="83"/>
        <v>56655.37565198153</v>
      </c>
      <c r="V351" s="7"/>
    </row>
    <row r="352" spans="1:22" s="5" customFormat="1" ht="12.75" hidden="1">
      <c r="A352" s="30" t="s">
        <v>9</v>
      </c>
      <c r="B352" s="31" t="s">
        <v>79</v>
      </c>
      <c r="C352" s="31">
        <v>6</v>
      </c>
      <c r="D352" s="31" t="s">
        <v>34</v>
      </c>
      <c r="E352" s="32" t="s">
        <v>100</v>
      </c>
      <c r="F352" s="45" t="s">
        <v>101</v>
      </c>
      <c r="G352" s="45"/>
      <c r="H352" s="45"/>
      <c r="I352" s="33">
        <f t="shared" si="84"/>
        <v>25541.872382094545</v>
      </c>
      <c r="J352" s="33">
        <f t="shared" si="84"/>
        <v>12260.084273558428</v>
      </c>
      <c r="K352" s="33">
        <f t="shared" si="84"/>
        <v>10113.59100228567</v>
      </c>
      <c r="L352" s="33">
        <f t="shared" si="84"/>
        <v>8933.984962459315</v>
      </c>
      <c r="M352" s="33">
        <f t="shared" si="79"/>
        <v>3150.163054637748</v>
      </c>
      <c r="N352" s="33">
        <f t="shared" si="80"/>
        <v>842.7992501904724</v>
      </c>
      <c r="O352" s="33">
        <f t="shared" si="81"/>
        <v>60842.49492522619</v>
      </c>
      <c r="P352" s="33">
        <f t="shared" si="75"/>
        <v>5171.612068644226</v>
      </c>
      <c r="Q352" s="33">
        <f t="shared" si="76"/>
        <v>14723.883771904737</v>
      </c>
      <c r="R352" s="33"/>
      <c r="S352" s="33">
        <f t="shared" si="77"/>
        <v>2699.4741793488997</v>
      </c>
      <c r="T352" s="34">
        <f t="shared" si="83"/>
        <v>83437.46494512404</v>
      </c>
      <c r="V352" s="7"/>
    </row>
    <row r="353" spans="1:22" s="5" customFormat="1" ht="12.75" hidden="1">
      <c r="A353" s="30" t="s">
        <v>9</v>
      </c>
      <c r="B353" s="31" t="s">
        <v>79</v>
      </c>
      <c r="C353" s="31">
        <v>7</v>
      </c>
      <c r="D353" s="31" t="s">
        <v>34</v>
      </c>
      <c r="E353" s="32" t="s">
        <v>102</v>
      </c>
      <c r="F353" s="45" t="s">
        <v>103</v>
      </c>
      <c r="G353" s="45"/>
      <c r="H353" s="45"/>
      <c r="I353" s="33">
        <f t="shared" si="84"/>
        <v>25541.872382094545</v>
      </c>
      <c r="J353" s="33">
        <f t="shared" si="84"/>
        <v>14528.22072486276</v>
      </c>
      <c r="K353" s="33">
        <f t="shared" si="84"/>
        <v>10113.59100228567</v>
      </c>
      <c r="L353" s="33">
        <f t="shared" si="84"/>
        <v>8933.984962459315</v>
      </c>
      <c r="M353" s="33">
        <f t="shared" si="79"/>
        <v>3339.1744255797753</v>
      </c>
      <c r="N353" s="33">
        <f t="shared" si="80"/>
        <v>842.7992501904724</v>
      </c>
      <c r="O353" s="33">
        <f t="shared" si="81"/>
        <v>63299.642747472535</v>
      </c>
      <c r="P353" s="33">
        <f t="shared" si="75"/>
        <v>5380.4696335351655</v>
      </c>
      <c r="Q353" s="33">
        <f t="shared" si="76"/>
        <v>15318.513544888352</v>
      </c>
      <c r="R353" s="33"/>
      <c r="S353" s="33">
        <f t="shared" si="77"/>
        <v>2839.0401756524925</v>
      </c>
      <c r="T353" s="34">
        <f t="shared" si="83"/>
        <v>86837.66610154854</v>
      </c>
      <c r="V353" s="7"/>
    </row>
    <row r="354" spans="1:22" s="5" customFormat="1" ht="12.75" hidden="1">
      <c r="A354" s="30" t="s">
        <v>9</v>
      </c>
      <c r="B354" s="31" t="s">
        <v>79</v>
      </c>
      <c r="C354" s="31">
        <v>8</v>
      </c>
      <c r="D354" s="31" t="s">
        <v>34</v>
      </c>
      <c r="E354" s="32" t="s">
        <v>104</v>
      </c>
      <c r="F354" s="45" t="s">
        <v>105</v>
      </c>
      <c r="G354" s="45"/>
      <c r="H354" s="45"/>
      <c r="I354" s="33">
        <f t="shared" si="84"/>
        <v>25541.872382094545</v>
      </c>
      <c r="J354" s="33">
        <f t="shared" si="84"/>
        <v>16796.333059755507</v>
      </c>
      <c r="K354" s="33">
        <f t="shared" si="84"/>
        <v>10113.59100228567</v>
      </c>
      <c r="L354" s="33">
        <f t="shared" si="84"/>
        <v>8933.984962459315</v>
      </c>
      <c r="M354" s="33">
        <f t="shared" si="79"/>
        <v>3528.183786820837</v>
      </c>
      <c r="N354" s="33">
        <f t="shared" si="80"/>
        <v>842.7992501904724</v>
      </c>
      <c r="O354" s="33">
        <f t="shared" si="81"/>
        <v>65756.76444360634</v>
      </c>
      <c r="P354" s="33">
        <f t="shared" si="75"/>
        <v>5589.324977706539</v>
      </c>
      <c r="Q354" s="33">
        <f t="shared" si="76"/>
        <v>15913.136995352736</v>
      </c>
      <c r="R354" s="33"/>
      <c r="S354" s="33">
        <f t="shared" si="77"/>
        <v>2978.6046879928927</v>
      </c>
      <c r="T354" s="34">
        <f t="shared" si="83"/>
        <v>90237.8311046585</v>
      </c>
      <c r="V354" s="7"/>
    </row>
    <row r="355" spans="1:22" s="5" customFormat="1" ht="12.75" hidden="1">
      <c r="A355" s="30" t="s">
        <v>9</v>
      </c>
      <c r="B355" s="31" t="s">
        <v>79</v>
      </c>
      <c r="C355" s="31">
        <v>9</v>
      </c>
      <c r="D355" s="31" t="s">
        <v>34</v>
      </c>
      <c r="E355" s="32" t="s">
        <v>106</v>
      </c>
      <c r="F355" s="45" t="s">
        <v>107</v>
      </c>
      <c r="G355" s="45"/>
      <c r="H355" s="45"/>
      <c r="I355" s="33">
        <f t="shared" si="84"/>
        <v>25541.872382094545</v>
      </c>
      <c r="J355" s="33">
        <f t="shared" si="84"/>
        <v>19064.457452854043</v>
      </c>
      <c r="K355" s="33">
        <f t="shared" si="84"/>
        <v>10113.59100228567</v>
      </c>
      <c r="L355" s="33">
        <f t="shared" si="84"/>
        <v>8933.984962459315</v>
      </c>
      <c r="M355" s="33">
        <f t="shared" si="79"/>
        <v>3717.194152912382</v>
      </c>
      <c r="N355" s="33">
        <f t="shared" si="80"/>
        <v>842.7992501904724</v>
      </c>
      <c r="O355" s="33">
        <f t="shared" si="81"/>
        <v>68213.89920279643</v>
      </c>
      <c r="P355" s="33">
        <f t="shared" si="75"/>
        <v>5798.181432237696</v>
      </c>
      <c r="Q355" s="33">
        <f t="shared" si="76"/>
        <v>16507.763607076733</v>
      </c>
      <c r="R355" s="33"/>
      <c r="S355" s="33">
        <f t="shared" si="77"/>
        <v>3118.169942314889</v>
      </c>
      <c r="T355" s="34">
        <f t="shared" si="83"/>
        <v>93638.01418442575</v>
      </c>
      <c r="V355" s="7"/>
    </row>
    <row r="356" spans="1:22" s="5" customFormat="1" ht="12.75" hidden="1">
      <c r="A356" s="30" t="s">
        <v>9</v>
      </c>
      <c r="B356" s="31" t="s">
        <v>79</v>
      </c>
      <c r="C356" s="31">
        <v>10</v>
      </c>
      <c r="D356" s="31" t="s">
        <v>34</v>
      </c>
      <c r="E356" s="32" t="s">
        <v>108</v>
      </c>
      <c r="F356" s="45" t="s">
        <v>109</v>
      </c>
      <c r="G356" s="45"/>
      <c r="H356" s="45"/>
      <c r="I356" s="33">
        <f t="shared" si="84"/>
        <v>25541.872382094545</v>
      </c>
      <c r="J356" s="33">
        <f t="shared" si="84"/>
        <v>21332.56978774679</v>
      </c>
      <c r="K356" s="33">
        <f t="shared" si="84"/>
        <v>10113.59100228567</v>
      </c>
      <c r="L356" s="33">
        <f t="shared" si="84"/>
        <v>8933.984962459315</v>
      </c>
      <c r="M356" s="33">
        <f t="shared" si="79"/>
        <v>3906.2035141534448</v>
      </c>
      <c r="N356" s="33">
        <f t="shared" si="80"/>
        <v>842.7992501904724</v>
      </c>
      <c r="O356" s="33">
        <f t="shared" si="81"/>
        <v>70671.02089893023</v>
      </c>
      <c r="P356" s="33">
        <f t="shared" si="75"/>
        <v>6007.03677640907</v>
      </c>
      <c r="Q356" s="33">
        <f t="shared" si="76"/>
        <v>17102.387057541117</v>
      </c>
      <c r="R356" s="33"/>
      <c r="S356" s="33">
        <f t="shared" si="77"/>
        <v>3257.73445465529</v>
      </c>
      <c r="T356" s="34">
        <f t="shared" si="83"/>
        <v>97038.17918753572</v>
      </c>
      <c r="V356" s="7"/>
    </row>
    <row r="357" spans="1:22" s="5" customFormat="1" ht="12.75" hidden="1">
      <c r="A357" s="30" t="s">
        <v>9</v>
      </c>
      <c r="B357" s="31" t="s">
        <v>79</v>
      </c>
      <c r="C357" s="31">
        <v>11</v>
      </c>
      <c r="D357" s="31" t="s">
        <v>34</v>
      </c>
      <c r="E357" s="32" t="s">
        <v>110</v>
      </c>
      <c r="F357" s="45" t="s">
        <v>111</v>
      </c>
      <c r="G357" s="45"/>
      <c r="H357" s="45"/>
      <c r="I357" s="33">
        <f t="shared" si="84"/>
        <v>25541.872382094545</v>
      </c>
      <c r="J357" s="33">
        <f t="shared" si="84"/>
        <v>23600.694180845327</v>
      </c>
      <c r="K357" s="33">
        <f t="shared" si="84"/>
        <v>10113.59100228567</v>
      </c>
      <c r="L357" s="33">
        <f t="shared" si="84"/>
        <v>8933.984962459315</v>
      </c>
      <c r="M357" s="33">
        <f t="shared" si="79"/>
        <v>4095.2138802449895</v>
      </c>
      <c r="N357" s="33">
        <f t="shared" si="80"/>
        <v>842.7992501904724</v>
      </c>
      <c r="O357" s="33">
        <f t="shared" si="81"/>
        <v>73128.15565812032</v>
      </c>
      <c r="P357" s="33">
        <f t="shared" si="75"/>
        <v>6215.893230940227</v>
      </c>
      <c r="Q357" s="33">
        <f t="shared" si="76"/>
        <v>17697.013669265118</v>
      </c>
      <c r="R357" s="33"/>
      <c r="S357" s="33">
        <f t="shared" si="77"/>
        <v>3397.2997089772866</v>
      </c>
      <c r="T357" s="34">
        <f t="shared" si="83"/>
        <v>100438.36226730295</v>
      </c>
      <c r="V357" s="7"/>
    </row>
    <row r="358" spans="1:22" s="5" customFormat="1" ht="12.75" hidden="1">
      <c r="A358" s="30" t="s">
        <v>9</v>
      </c>
      <c r="B358" s="31" t="s">
        <v>79</v>
      </c>
      <c r="C358" s="31">
        <v>12</v>
      </c>
      <c r="D358" s="31" t="s">
        <v>34</v>
      </c>
      <c r="E358" s="32" t="s">
        <v>112</v>
      </c>
      <c r="F358" s="45" t="s">
        <v>113</v>
      </c>
      <c r="G358" s="45"/>
      <c r="H358" s="45"/>
      <c r="I358" s="33">
        <f t="shared" si="84"/>
        <v>25541.872382094545</v>
      </c>
      <c r="J358" s="33">
        <f t="shared" si="84"/>
        <v>25868.80651573807</v>
      </c>
      <c r="K358" s="33">
        <f t="shared" si="84"/>
        <v>10113.59100228567</v>
      </c>
      <c r="L358" s="33">
        <f t="shared" si="84"/>
        <v>8933.984962459315</v>
      </c>
      <c r="M358" s="33">
        <f t="shared" si="79"/>
        <v>4284.223241486051</v>
      </c>
      <c r="N358" s="33">
        <f t="shared" si="80"/>
        <v>842.7992501904724</v>
      </c>
      <c r="O358" s="33">
        <f t="shared" si="81"/>
        <v>75585.27735425411</v>
      </c>
      <c r="P358" s="33">
        <f t="shared" si="75"/>
        <v>6424.7485751116</v>
      </c>
      <c r="Q358" s="33">
        <f t="shared" si="76"/>
        <v>18291.637119729494</v>
      </c>
      <c r="R358" s="33">
        <v>74.53</v>
      </c>
      <c r="S358" s="33">
        <f t="shared" si="77"/>
        <v>3536.8642213176868</v>
      </c>
      <c r="T358" s="34">
        <f t="shared" si="83"/>
        <v>103913.0572704129</v>
      </c>
      <c r="V358" s="7"/>
    </row>
    <row r="359" spans="1:22" s="5" customFormat="1" ht="12.75" hidden="1">
      <c r="A359" s="30" t="s">
        <v>9</v>
      </c>
      <c r="B359" s="31" t="s">
        <v>79</v>
      </c>
      <c r="C359" s="31">
        <v>13</v>
      </c>
      <c r="D359" s="31" t="s">
        <v>34</v>
      </c>
      <c r="E359" s="32" t="s">
        <v>114</v>
      </c>
      <c r="F359" s="45" t="s">
        <v>115</v>
      </c>
      <c r="G359" s="45"/>
      <c r="H359" s="45"/>
      <c r="I359" s="33">
        <f t="shared" si="84"/>
        <v>25541.872382094545</v>
      </c>
      <c r="J359" s="33">
        <f t="shared" si="84"/>
        <v>28136.93090883661</v>
      </c>
      <c r="K359" s="33">
        <f t="shared" si="84"/>
        <v>10113.59100228567</v>
      </c>
      <c r="L359" s="33">
        <f t="shared" si="84"/>
        <v>8933.984962459315</v>
      </c>
      <c r="M359" s="33">
        <f t="shared" si="79"/>
        <v>4473.233607577597</v>
      </c>
      <c r="N359" s="33">
        <f t="shared" si="80"/>
        <v>842.7992501904724</v>
      </c>
      <c r="O359" s="33">
        <f t="shared" si="81"/>
        <v>78042.41211344421</v>
      </c>
      <c r="P359" s="33">
        <f t="shared" si="75"/>
        <v>6633.6050296427575</v>
      </c>
      <c r="Q359" s="33">
        <f t="shared" si="76"/>
        <v>18886.2637314535</v>
      </c>
      <c r="R359" s="33">
        <v>169.82</v>
      </c>
      <c r="S359" s="33">
        <f t="shared" si="77"/>
        <v>3676.429475639684</v>
      </c>
      <c r="T359" s="34">
        <f t="shared" si="83"/>
        <v>107408.53035018015</v>
      </c>
      <c r="V359" s="7"/>
    </row>
    <row r="360" spans="1:22" s="5" customFormat="1" ht="13.5" hidden="1" thickBot="1">
      <c r="A360" s="35" t="s">
        <v>9</v>
      </c>
      <c r="B360" s="36" t="s">
        <v>79</v>
      </c>
      <c r="C360" s="36">
        <v>14</v>
      </c>
      <c r="D360" s="36" t="s">
        <v>34</v>
      </c>
      <c r="E360" s="37" t="s">
        <v>116</v>
      </c>
      <c r="F360" s="46" t="s">
        <v>117</v>
      </c>
      <c r="G360" s="46"/>
      <c r="H360" s="46"/>
      <c r="I360" s="38">
        <f t="shared" si="84"/>
        <v>25541.872382094545</v>
      </c>
      <c r="J360" s="38">
        <f t="shared" si="84"/>
        <v>30405.043243729357</v>
      </c>
      <c r="K360" s="38">
        <f t="shared" si="84"/>
        <v>10113.59100228567</v>
      </c>
      <c r="L360" s="38">
        <f t="shared" si="84"/>
        <v>8933.984962459315</v>
      </c>
      <c r="M360" s="38">
        <f t="shared" si="79"/>
        <v>4662.2429688186585</v>
      </c>
      <c r="N360" s="38">
        <f t="shared" si="80"/>
        <v>842.7992501904724</v>
      </c>
      <c r="O360" s="38">
        <f t="shared" si="81"/>
        <v>80499.53380957802</v>
      </c>
      <c r="P360" s="38">
        <f t="shared" si="75"/>
        <v>6842.460373814131</v>
      </c>
      <c r="Q360" s="38">
        <f t="shared" si="76"/>
        <v>19480.887181917882</v>
      </c>
      <c r="R360" s="38">
        <v>265.03</v>
      </c>
      <c r="S360" s="38">
        <f t="shared" si="77"/>
        <v>3815.993987980084</v>
      </c>
      <c r="T360" s="39">
        <f t="shared" si="83"/>
        <v>110903.9053532901</v>
      </c>
      <c r="V360" s="7"/>
    </row>
    <row r="361" spans="1:22" s="5" customFormat="1" ht="12.75" hidden="1">
      <c r="A361" s="40" t="s">
        <v>8</v>
      </c>
      <c r="B361" s="41" t="s">
        <v>118</v>
      </c>
      <c r="C361" s="41" t="s">
        <v>119</v>
      </c>
      <c r="D361" s="41"/>
      <c r="E361" s="42" t="s">
        <v>120</v>
      </c>
      <c r="F361" s="48" t="s">
        <v>121</v>
      </c>
      <c r="G361" s="48"/>
      <c r="H361" s="48"/>
      <c r="I361" s="33">
        <f aca="true" t="shared" si="85" ref="I361:L376">I284*1.0377</f>
        <v>12406.12120390759</v>
      </c>
      <c r="J361" s="33">
        <f t="shared" si="85"/>
        <v>0</v>
      </c>
      <c r="K361" s="33">
        <f t="shared" si="85"/>
        <v>9204.679624288092</v>
      </c>
      <c r="L361" s="33">
        <f t="shared" si="85"/>
        <v>0</v>
      </c>
      <c r="M361" s="43">
        <f t="shared" si="79"/>
        <v>1033.843433658966</v>
      </c>
      <c r="N361" s="43">
        <f t="shared" si="80"/>
        <v>767.056635357341</v>
      </c>
      <c r="O361" s="43">
        <f t="shared" si="81"/>
        <v>23411.70089721199</v>
      </c>
      <c r="P361" s="43">
        <f t="shared" si="75"/>
        <v>1989.994576263019</v>
      </c>
      <c r="Q361" s="43">
        <f t="shared" si="76"/>
        <v>5665.631617125302</v>
      </c>
      <c r="R361" s="33">
        <f>(I361+J361)*18%*24.2%</f>
        <v>540.4106396422146</v>
      </c>
      <c r="S361" s="43">
        <f t="shared" si="77"/>
        <v>1103.2267631424966</v>
      </c>
      <c r="T361" s="44">
        <f t="shared" si="83"/>
        <v>32710.96449338502</v>
      </c>
      <c r="V361" s="7"/>
    </row>
    <row r="362" spans="1:22" s="5" customFormat="1" ht="12.75" hidden="1">
      <c r="A362" s="30" t="s">
        <v>8</v>
      </c>
      <c r="B362" s="31" t="s">
        <v>118</v>
      </c>
      <c r="C362" s="31" t="s">
        <v>122</v>
      </c>
      <c r="D362" s="31"/>
      <c r="E362" s="32" t="s">
        <v>120</v>
      </c>
      <c r="F362" s="45"/>
      <c r="G362" s="45"/>
      <c r="H362" s="45"/>
      <c r="I362" s="33">
        <f t="shared" si="85"/>
        <v>16517.084306737754</v>
      </c>
      <c r="J362" s="33">
        <f t="shared" si="85"/>
        <v>0</v>
      </c>
      <c r="K362" s="33">
        <f t="shared" si="85"/>
        <v>6985.779238874415</v>
      </c>
      <c r="L362" s="33">
        <f t="shared" si="85"/>
        <v>3752.273684232913</v>
      </c>
      <c r="M362" s="33">
        <f t="shared" si="79"/>
        <v>1376.4236922281461</v>
      </c>
      <c r="N362" s="33">
        <f t="shared" si="80"/>
        <v>582.1482699062012</v>
      </c>
      <c r="O362" s="33">
        <f t="shared" si="81"/>
        <v>29213.70919197943</v>
      </c>
      <c r="P362" s="33">
        <f t="shared" si="75"/>
        <v>2483.1652813182513</v>
      </c>
      <c r="Q362" s="33">
        <f t="shared" si="76"/>
        <v>7069.717624459022</v>
      </c>
      <c r="R362" s="33"/>
      <c r="S362" s="33">
        <f t="shared" si="77"/>
        <v>1274.2662238405064</v>
      </c>
      <c r="T362" s="34">
        <f t="shared" si="83"/>
        <v>40040.8583215972</v>
      </c>
      <c r="V362" s="7"/>
    </row>
    <row r="363" spans="1:22" s="5" customFormat="1" ht="12.75" hidden="1">
      <c r="A363" s="30" t="s">
        <v>8</v>
      </c>
      <c r="B363" s="31" t="s">
        <v>123</v>
      </c>
      <c r="C363" s="31">
        <v>0</v>
      </c>
      <c r="D363" s="31" t="s">
        <v>31</v>
      </c>
      <c r="E363" s="32" t="s">
        <v>124</v>
      </c>
      <c r="F363" s="45" t="s">
        <v>125</v>
      </c>
      <c r="G363" s="45"/>
      <c r="H363" s="45"/>
      <c r="I363" s="33">
        <f t="shared" si="85"/>
        <v>13379.134003896428</v>
      </c>
      <c r="J363" s="33">
        <f t="shared" si="85"/>
        <v>0</v>
      </c>
      <c r="K363" s="33">
        <f t="shared" si="85"/>
        <v>9290.702864409543</v>
      </c>
      <c r="L363" s="33">
        <f t="shared" si="85"/>
        <v>0</v>
      </c>
      <c r="M363" s="33">
        <f t="shared" si="79"/>
        <v>1114.9278336580358</v>
      </c>
      <c r="N363" s="33">
        <f t="shared" si="80"/>
        <v>774.2252387007952</v>
      </c>
      <c r="O363" s="33">
        <f t="shared" si="81"/>
        <v>24558.9899406648</v>
      </c>
      <c r="P363" s="33">
        <f t="shared" si="75"/>
        <v>2087.514144956508</v>
      </c>
      <c r="Q363" s="33">
        <f t="shared" si="76"/>
        <v>5943.275565640881</v>
      </c>
      <c r="R363" s="33">
        <f>(I363+J363)*18%*24.2%</f>
        <v>582.7950772097284</v>
      </c>
      <c r="S363" s="33">
        <f t="shared" si="77"/>
        <v>1166.2754621270938</v>
      </c>
      <c r="T363" s="34">
        <f t="shared" si="83"/>
        <v>34338.85019059901</v>
      </c>
      <c r="V363" s="7"/>
    </row>
    <row r="364" spans="1:22" s="5" customFormat="1" ht="12.75" hidden="1">
      <c r="A364" s="30" t="s">
        <v>8</v>
      </c>
      <c r="B364" s="31" t="s">
        <v>123</v>
      </c>
      <c r="C364" s="31">
        <v>0</v>
      </c>
      <c r="D364" s="31" t="s">
        <v>34</v>
      </c>
      <c r="E364" s="32" t="s">
        <v>126</v>
      </c>
      <c r="F364" s="45" t="s">
        <v>127</v>
      </c>
      <c r="G364" s="45"/>
      <c r="H364" s="45"/>
      <c r="I364" s="33">
        <f t="shared" si="85"/>
        <v>18244.234178457988</v>
      </c>
      <c r="J364" s="33">
        <f t="shared" si="85"/>
        <v>0</v>
      </c>
      <c r="K364" s="33">
        <f t="shared" si="85"/>
        <v>9540.163025838281</v>
      </c>
      <c r="L364" s="33">
        <f t="shared" si="85"/>
        <v>3752.2724784123334</v>
      </c>
      <c r="M364" s="33">
        <f t="shared" si="79"/>
        <v>1520.3528482048323</v>
      </c>
      <c r="N364" s="33">
        <f t="shared" si="80"/>
        <v>795.0135854865234</v>
      </c>
      <c r="O364" s="33">
        <f t="shared" si="81"/>
        <v>33852.03611639996</v>
      </c>
      <c r="P364" s="33">
        <f t="shared" si="75"/>
        <v>2877.4230698939964</v>
      </c>
      <c r="Q364" s="33">
        <f t="shared" si="76"/>
        <v>8192.19274016879</v>
      </c>
      <c r="R364" s="33"/>
      <c r="S364" s="33">
        <f t="shared" si="77"/>
        <v>1474.8513620283975</v>
      </c>
      <c r="T364" s="34">
        <f t="shared" si="83"/>
        <v>46396.50328849114</v>
      </c>
      <c r="V364" s="7"/>
    </row>
    <row r="365" spans="1:22" s="5" customFormat="1" ht="12.75" hidden="1">
      <c r="A365" s="30" t="s">
        <v>8</v>
      </c>
      <c r="B365" s="31" t="s">
        <v>123</v>
      </c>
      <c r="C365" s="31">
        <v>1</v>
      </c>
      <c r="D365" s="31" t="s">
        <v>31</v>
      </c>
      <c r="E365" s="32" t="s">
        <v>128</v>
      </c>
      <c r="F365" s="45"/>
      <c r="G365" s="45"/>
      <c r="H365" s="45"/>
      <c r="I365" s="33">
        <f t="shared" si="85"/>
        <v>13379.134003896428</v>
      </c>
      <c r="J365" s="33">
        <f t="shared" si="85"/>
        <v>1070.3345789375678</v>
      </c>
      <c r="K365" s="33">
        <f t="shared" si="85"/>
        <v>9290.702864409543</v>
      </c>
      <c r="L365" s="33">
        <f t="shared" si="85"/>
        <v>0</v>
      </c>
      <c r="M365" s="33">
        <f t="shared" si="79"/>
        <v>1204.122381902833</v>
      </c>
      <c r="N365" s="33">
        <f t="shared" si="80"/>
        <v>774.2252387007952</v>
      </c>
      <c r="O365" s="33">
        <f t="shared" si="81"/>
        <v>25718.519067847166</v>
      </c>
      <c r="P365" s="33">
        <f t="shared" si="75"/>
        <v>2186.074120767009</v>
      </c>
      <c r="Q365" s="33">
        <f t="shared" si="76"/>
        <v>6223.881614419013</v>
      </c>
      <c r="R365" s="33">
        <f>(I365+J365)*18%*24.2%</f>
        <v>629.4188514682488</v>
      </c>
      <c r="S365" s="33">
        <f t="shared" si="77"/>
        <v>1232.1367165510521</v>
      </c>
      <c r="T365" s="34">
        <f t="shared" si="83"/>
        <v>35990.03037105249</v>
      </c>
      <c r="V365" s="7"/>
    </row>
    <row r="366" spans="1:22" s="5" customFormat="1" ht="12.75" hidden="1">
      <c r="A366" s="30" t="s">
        <v>8</v>
      </c>
      <c r="B366" s="31" t="s">
        <v>123</v>
      </c>
      <c r="C366" s="31">
        <v>1</v>
      </c>
      <c r="D366" s="31" t="s">
        <v>34</v>
      </c>
      <c r="E366" s="32" t="s">
        <v>129</v>
      </c>
      <c r="F366" s="45" t="s">
        <v>130</v>
      </c>
      <c r="G366" s="45"/>
      <c r="H366" s="45"/>
      <c r="I366" s="33">
        <f t="shared" si="85"/>
        <v>18244.234178457988</v>
      </c>
      <c r="J366" s="33">
        <f t="shared" si="85"/>
        <v>1459.5372872919443</v>
      </c>
      <c r="K366" s="33">
        <f t="shared" si="85"/>
        <v>9540.163025838281</v>
      </c>
      <c r="L366" s="33">
        <f t="shared" si="85"/>
        <v>4377.647205412457</v>
      </c>
      <c r="M366" s="33">
        <f t="shared" si="79"/>
        <v>1641.980955479161</v>
      </c>
      <c r="N366" s="33">
        <f t="shared" si="80"/>
        <v>795.0135854865234</v>
      </c>
      <c r="O366" s="33">
        <f t="shared" si="81"/>
        <v>36058.57623796635</v>
      </c>
      <c r="P366" s="33">
        <f t="shared" si="75"/>
        <v>3064.9789802271393</v>
      </c>
      <c r="Q366" s="33">
        <f t="shared" si="76"/>
        <v>8726.175449587856</v>
      </c>
      <c r="R366" s="33"/>
      <c r="S366" s="33">
        <f t="shared" si="77"/>
        <v>1564.6615564397619</v>
      </c>
      <c r="T366" s="34">
        <f t="shared" si="83"/>
        <v>49414.39222422111</v>
      </c>
      <c r="V366" s="7"/>
    </row>
    <row r="367" spans="1:22" s="5" customFormat="1" ht="12.75" hidden="1">
      <c r="A367" s="30" t="s">
        <v>8</v>
      </c>
      <c r="B367" s="31" t="s">
        <v>123</v>
      </c>
      <c r="C367" s="31">
        <v>2</v>
      </c>
      <c r="D367" s="31" t="s">
        <v>31</v>
      </c>
      <c r="E367" s="32" t="s">
        <v>131</v>
      </c>
      <c r="F367" s="45"/>
      <c r="G367" s="45"/>
      <c r="H367" s="45"/>
      <c r="I367" s="33">
        <f t="shared" si="85"/>
        <v>13379.134003896428</v>
      </c>
      <c r="J367" s="33">
        <f t="shared" si="85"/>
        <v>2140.6691578751356</v>
      </c>
      <c r="K367" s="33">
        <f t="shared" si="85"/>
        <v>9290.702864409543</v>
      </c>
      <c r="L367" s="33">
        <f t="shared" si="85"/>
        <v>0</v>
      </c>
      <c r="M367" s="33">
        <f t="shared" si="79"/>
        <v>1293.3169301476303</v>
      </c>
      <c r="N367" s="33">
        <f t="shared" si="80"/>
        <v>774.2252387007952</v>
      </c>
      <c r="O367" s="33">
        <f t="shared" si="81"/>
        <v>26878.048195029533</v>
      </c>
      <c r="P367" s="33">
        <f t="shared" si="75"/>
        <v>2284.6340965775103</v>
      </c>
      <c r="Q367" s="33">
        <f t="shared" si="76"/>
        <v>6504.487663197147</v>
      </c>
      <c r="R367" s="33">
        <f>(I367+J367)*18%*24.2%</f>
        <v>676.0426257267693</v>
      </c>
      <c r="S367" s="33">
        <f t="shared" si="77"/>
        <v>1297.9979709750105</v>
      </c>
      <c r="T367" s="34">
        <f t="shared" si="83"/>
        <v>37641.21055150597</v>
      </c>
      <c r="V367" s="7"/>
    </row>
    <row r="368" spans="1:22" s="5" customFormat="1" ht="12.75" hidden="1">
      <c r="A368" s="30" t="s">
        <v>8</v>
      </c>
      <c r="B368" s="31" t="s">
        <v>123</v>
      </c>
      <c r="C368" s="31">
        <v>2</v>
      </c>
      <c r="D368" s="31" t="s">
        <v>34</v>
      </c>
      <c r="E368" s="32" t="s">
        <v>132</v>
      </c>
      <c r="F368" s="45" t="s">
        <v>133</v>
      </c>
      <c r="G368" s="45"/>
      <c r="H368" s="45"/>
      <c r="I368" s="33">
        <f t="shared" si="85"/>
        <v>18244.234178457988</v>
      </c>
      <c r="J368" s="33">
        <f t="shared" si="85"/>
        <v>2919.0745745838885</v>
      </c>
      <c r="K368" s="33">
        <f t="shared" si="85"/>
        <v>9540.163025838281</v>
      </c>
      <c r="L368" s="33">
        <f t="shared" si="85"/>
        <v>4377.647205412457</v>
      </c>
      <c r="M368" s="33">
        <f t="shared" si="79"/>
        <v>1763.6090627534898</v>
      </c>
      <c r="N368" s="33">
        <f t="shared" si="80"/>
        <v>795.0135854865234</v>
      </c>
      <c r="O368" s="33">
        <f t="shared" si="81"/>
        <v>37639.74163253262</v>
      </c>
      <c r="P368" s="33">
        <f t="shared" si="75"/>
        <v>3199.3780387652723</v>
      </c>
      <c r="Q368" s="33">
        <f t="shared" si="76"/>
        <v>9108.817475072894</v>
      </c>
      <c r="R368" s="33"/>
      <c r="S368" s="33">
        <f t="shared" si="77"/>
        <v>1654.4717508511262</v>
      </c>
      <c r="T368" s="34">
        <f t="shared" si="83"/>
        <v>51602.40889722191</v>
      </c>
      <c r="V368" s="7"/>
    </row>
    <row r="369" spans="1:22" s="5" customFormat="1" ht="12.75" hidden="1">
      <c r="A369" s="30" t="s">
        <v>8</v>
      </c>
      <c r="B369" s="31" t="s">
        <v>123</v>
      </c>
      <c r="C369" s="31">
        <v>3</v>
      </c>
      <c r="D369" s="31" t="s">
        <v>31</v>
      </c>
      <c r="E369" s="32" t="s">
        <v>134</v>
      </c>
      <c r="F369" s="45"/>
      <c r="G369" s="45"/>
      <c r="H369" s="45"/>
      <c r="I369" s="33">
        <f t="shared" si="85"/>
        <v>13379.134003896428</v>
      </c>
      <c r="J369" s="33">
        <f t="shared" si="85"/>
        <v>3211.0037368127028</v>
      </c>
      <c r="K369" s="33">
        <f t="shared" si="85"/>
        <v>9290.702864409543</v>
      </c>
      <c r="L369" s="33">
        <f t="shared" si="85"/>
        <v>0</v>
      </c>
      <c r="M369" s="33">
        <f t="shared" si="79"/>
        <v>1382.5114783924275</v>
      </c>
      <c r="N369" s="33">
        <f t="shared" si="80"/>
        <v>774.2252387007952</v>
      </c>
      <c r="O369" s="33">
        <f t="shared" si="81"/>
        <v>28037.5773222119</v>
      </c>
      <c r="P369" s="33">
        <f t="shared" si="75"/>
        <v>2383.194072388011</v>
      </c>
      <c r="Q369" s="33">
        <f t="shared" si="76"/>
        <v>6785.09371197528</v>
      </c>
      <c r="R369" s="33">
        <f>(I369+J369)*18%*24.2%</f>
        <v>722.6663999852897</v>
      </c>
      <c r="S369" s="33">
        <f t="shared" si="77"/>
        <v>1363.8592253989689</v>
      </c>
      <c r="T369" s="34">
        <f t="shared" si="83"/>
        <v>39292.39073195945</v>
      </c>
      <c r="V369" s="7"/>
    </row>
    <row r="370" spans="1:22" s="5" customFormat="1" ht="12.75" hidden="1">
      <c r="A370" s="30" t="s">
        <v>8</v>
      </c>
      <c r="B370" s="31" t="s">
        <v>123</v>
      </c>
      <c r="C370" s="31">
        <v>3</v>
      </c>
      <c r="D370" s="31" t="s">
        <v>34</v>
      </c>
      <c r="E370" s="32" t="s">
        <v>135</v>
      </c>
      <c r="F370" s="45" t="s">
        <v>136</v>
      </c>
      <c r="G370" s="45"/>
      <c r="H370" s="45"/>
      <c r="I370" s="33">
        <f t="shared" si="85"/>
        <v>18244.234178457988</v>
      </c>
      <c r="J370" s="33">
        <f t="shared" si="85"/>
        <v>4378.611861875833</v>
      </c>
      <c r="K370" s="33">
        <f t="shared" si="85"/>
        <v>9540.163025838281</v>
      </c>
      <c r="L370" s="33">
        <f t="shared" si="85"/>
        <v>5003.033990618375</v>
      </c>
      <c r="M370" s="33">
        <f t="shared" si="79"/>
        <v>1885.2371700278184</v>
      </c>
      <c r="N370" s="33">
        <f t="shared" si="80"/>
        <v>795.0135854865234</v>
      </c>
      <c r="O370" s="33">
        <f t="shared" si="81"/>
        <v>39846.293812304815</v>
      </c>
      <c r="P370" s="33">
        <f t="shared" si="75"/>
        <v>3386.9349740459093</v>
      </c>
      <c r="Q370" s="33">
        <f t="shared" si="76"/>
        <v>9642.803102577765</v>
      </c>
      <c r="R370" s="33"/>
      <c r="S370" s="33">
        <f t="shared" si="77"/>
        <v>1744.2819452624906</v>
      </c>
      <c r="T370" s="34">
        <f t="shared" si="83"/>
        <v>54620.31383419098</v>
      </c>
      <c r="V370" s="7"/>
    </row>
    <row r="371" spans="1:22" s="5" customFormat="1" ht="12.75" hidden="1">
      <c r="A371" s="30" t="s">
        <v>8</v>
      </c>
      <c r="B371" s="31" t="s">
        <v>123</v>
      </c>
      <c r="C371" s="31">
        <v>4</v>
      </c>
      <c r="D371" s="31" t="s">
        <v>31</v>
      </c>
      <c r="E371" s="32" t="s">
        <v>137</v>
      </c>
      <c r="F371" s="45" t="s">
        <v>138</v>
      </c>
      <c r="G371" s="45"/>
      <c r="H371" s="45"/>
      <c r="I371" s="33">
        <f t="shared" si="85"/>
        <v>13379.134003896428</v>
      </c>
      <c r="J371" s="33">
        <f t="shared" si="85"/>
        <v>4281.338315750271</v>
      </c>
      <c r="K371" s="33">
        <f t="shared" si="85"/>
        <v>9290.702864409543</v>
      </c>
      <c r="L371" s="33">
        <f t="shared" si="85"/>
        <v>0</v>
      </c>
      <c r="M371" s="33">
        <f t="shared" si="79"/>
        <v>1471.7060266372248</v>
      </c>
      <c r="N371" s="33">
        <f t="shared" si="80"/>
        <v>774.2252387007952</v>
      </c>
      <c r="O371" s="33">
        <f t="shared" si="81"/>
        <v>29197.10644939426</v>
      </c>
      <c r="P371" s="33">
        <f t="shared" si="75"/>
        <v>2481.754048198512</v>
      </c>
      <c r="Q371" s="33">
        <f t="shared" si="76"/>
        <v>7065.699760753411</v>
      </c>
      <c r="R371" s="33">
        <f>(I371+J371)*18%*24.2%</f>
        <v>769.2901742438102</v>
      </c>
      <c r="S371" s="33">
        <f t="shared" si="77"/>
        <v>1429.7204798229272</v>
      </c>
      <c r="T371" s="34">
        <f t="shared" si="83"/>
        <v>40943.57091241293</v>
      </c>
      <c r="V371" s="7"/>
    </row>
    <row r="372" spans="1:22" s="5" customFormat="1" ht="12.75" hidden="1">
      <c r="A372" s="30" t="s">
        <v>8</v>
      </c>
      <c r="B372" s="31" t="s">
        <v>123</v>
      </c>
      <c r="C372" s="31">
        <v>4</v>
      </c>
      <c r="D372" s="31" t="s">
        <v>34</v>
      </c>
      <c r="E372" s="32" t="s">
        <v>139</v>
      </c>
      <c r="F372" s="45" t="s">
        <v>140</v>
      </c>
      <c r="G372" s="45"/>
      <c r="H372" s="45"/>
      <c r="I372" s="33">
        <f t="shared" si="85"/>
        <v>18244.234178457988</v>
      </c>
      <c r="J372" s="33">
        <f t="shared" si="85"/>
        <v>5838.149149167777</v>
      </c>
      <c r="K372" s="33">
        <f t="shared" si="85"/>
        <v>9540.163025838281</v>
      </c>
      <c r="L372" s="33">
        <f t="shared" si="85"/>
        <v>5003.033990618375</v>
      </c>
      <c r="M372" s="33">
        <f t="shared" si="79"/>
        <v>2006.865277302147</v>
      </c>
      <c r="N372" s="33">
        <f t="shared" si="80"/>
        <v>795.0135854865234</v>
      </c>
      <c r="O372" s="33">
        <f t="shared" si="81"/>
        <v>41427.459206871084</v>
      </c>
      <c r="P372" s="33">
        <f t="shared" si="75"/>
        <v>3521.3340325840422</v>
      </c>
      <c r="Q372" s="33">
        <f t="shared" si="76"/>
        <v>10025.445128062802</v>
      </c>
      <c r="R372" s="33"/>
      <c r="S372" s="33">
        <f t="shared" si="77"/>
        <v>1834.0921396738545</v>
      </c>
      <c r="T372" s="34">
        <f t="shared" si="83"/>
        <v>56808.330507191786</v>
      </c>
      <c r="V372" s="7"/>
    </row>
    <row r="373" spans="1:22" s="5" customFormat="1" ht="12.75" hidden="1">
      <c r="A373" s="30" t="s">
        <v>8</v>
      </c>
      <c r="B373" s="31" t="s">
        <v>123</v>
      </c>
      <c r="C373" s="31">
        <v>5</v>
      </c>
      <c r="D373" s="31" t="s">
        <v>31</v>
      </c>
      <c r="E373" s="32" t="s">
        <v>141</v>
      </c>
      <c r="F373" s="45"/>
      <c r="G373" s="45"/>
      <c r="H373" s="45"/>
      <c r="I373" s="33">
        <f t="shared" si="85"/>
        <v>13379.134003896428</v>
      </c>
      <c r="J373" s="33">
        <f t="shared" si="85"/>
        <v>5351.672894687838</v>
      </c>
      <c r="K373" s="33">
        <f t="shared" si="85"/>
        <v>9290.702864409543</v>
      </c>
      <c r="L373" s="33">
        <f t="shared" si="85"/>
        <v>0</v>
      </c>
      <c r="M373" s="33">
        <f t="shared" si="79"/>
        <v>1560.900574882022</v>
      </c>
      <c r="N373" s="33">
        <f t="shared" si="80"/>
        <v>774.2252387007952</v>
      </c>
      <c r="O373" s="33">
        <f t="shared" si="81"/>
        <v>30356.635576576627</v>
      </c>
      <c r="P373" s="33">
        <f t="shared" si="75"/>
        <v>2580.3140240090133</v>
      </c>
      <c r="Q373" s="33">
        <f t="shared" si="76"/>
        <v>7346.305809531544</v>
      </c>
      <c r="R373" s="33">
        <f>(I373+J373)*18%*24.2%</f>
        <v>815.9139485023305</v>
      </c>
      <c r="S373" s="33">
        <f t="shared" si="77"/>
        <v>1495.5817342468854</v>
      </c>
      <c r="T373" s="34">
        <f t="shared" si="83"/>
        <v>42594.751092866405</v>
      </c>
      <c r="V373" s="7"/>
    </row>
    <row r="374" spans="1:22" s="5" customFormat="1" ht="12.75" hidden="1">
      <c r="A374" s="30" t="s">
        <v>8</v>
      </c>
      <c r="B374" s="31" t="s">
        <v>123</v>
      </c>
      <c r="C374" s="31">
        <v>5</v>
      </c>
      <c r="D374" s="31" t="s">
        <v>34</v>
      </c>
      <c r="E374" s="32" t="s">
        <v>142</v>
      </c>
      <c r="F374" s="45" t="s">
        <v>143</v>
      </c>
      <c r="G374" s="45"/>
      <c r="H374" s="45"/>
      <c r="I374" s="33">
        <f t="shared" si="85"/>
        <v>18244.234178457988</v>
      </c>
      <c r="J374" s="33">
        <f t="shared" si="85"/>
        <v>7297.686436459722</v>
      </c>
      <c r="K374" s="33">
        <f t="shared" si="85"/>
        <v>9540.163025838281</v>
      </c>
      <c r="L374" s="33">
        <f t="shared" si="85"/>
        <v>5628.4087176184985</v>
      </c>
      <c r="M374" s="33">
        <f t="shared" si="79"/>
        <v>2128.493384576476</v>
      </c>
      <c r="N374" s="33">
        <f t="shared" si="80"/>
        <v>795.0135854865234</v>
      </c>
      <c r="O374" s="33">
        <f t="shared" si="81"/>
        <v>43633.99932843749</v>
      </c>
      <c r="P374" s="33">
        <f t="shared" si="75"/>
        <v>3708.8899429171865</v>
      </c>
      <c r="Q374" s="33">
        <f t="shared" si="76"/>
        <v>10559.427837481871</v>
      </c>
      <c r="R374" s="33"/>
      <c r="S374" s="33">
        <f t="shared" si="77"/>
        <v>1923.9023340852193</v>
      </c>
      <c r="T374" s="34">
        <f t="shared" si="83"/>
        <v>59826.21944292177</v>
      </c>
      <c r="V374" s="7"/>
    </row>
    <row r="375" spans="1:22" s="5" customFormat="1" ht="12.75" hidden="1">
      <c r="A375" s="30" t="s">
        <v>8</v>
      </c>
      <c r="B375" s="31" t="s">
        <v>123</v>
      </c>
      <c r="C375" s="31">
        <v>6</v>
      </c>
      <c r="D375" s="31" t="s">
        <v>31</v>
      </c>
      <c r="E375" s="32" t="s">
        <v>144</v>
      </c>
      <c r="F375" s="45" t="s">
        <v>145</v>
      </c>
      <c r="G375" s="45"/>
      <c r="H375" s="45"/>
      <c r="I375" s="33">
        <f t="shared" si="85"/>
        <v>13379.134003896428</v>
      </c>
      <c r="J375" s="33">
        <f t="shared" si="85"/>
        <v>6422.0074736254055</v>
      </c>
      <c r="K375" s="33">
        <f t="shared" si="85"/>
        <v>9290.702864409543</v>
      </c>
      <c r="L375" s="33">
        <f t="shared" si="85"/>
        <v>0</v>
      </c>
      <c r="M375" s="33">
        <f t="shared" si="79"/>
        <v>1650.0951231268193</v>
      </c>
      <c r="N375" s="33">
        <f t="shared" si="80"/>
        <v>774.2252387007952</v>
      </c>
      <c r="O375" s="33">
        <f t="shared" si="81"/>
        <v>31516.16470375899</v>
      </c>
      <c r="P375" s="33">
        <f t="shared" si="75"/>
        <v>2678.873999819514</v>
      </c>
      <c r="Q375" s="33">
        <f t="shared" si="76"/>
        <v>7626.911858309675</v>
      </c>
      <c r="R375" s="33">
        <f>(I375+J375)*18%*24.2%</f>
        <v>862.537722760851</v>
      </c>
      <c r="S375" s="33">
        <f t="shared" si="77"/>
        <v>1561.4429886708435</v>
      </c>
      <c r="T375" s="34">
        <f t="shared" si="83"/>
        <v>44245.931273319875</v>
      </c>
      <c r="V375" s="7"/>
    </row>
    <row r="376" spans="1:22" s="5" customFormat="1" ht="12.75" hidden="1">
      <c r="A376" s="30" t="s">
        <v>8</v>
      </c>
      <c r="B376" s="31" t="s">
        <v>123</v>
      </c>
      <c r="C376" s="31">
        <v>6</v>
      </c>
      <c r="D376" s="31" t="s">
        <v>34</v>
      </c>
      <c r="E376" s="32" t="s">
        <v>146</v>
      </c>
      <c r="F376" s="45" t="s">
        <v>147</v>
      </c>
      <c r="G376" s="45"/>
      <c r="H376" s="45"/>
      <c r="I376" s="33">
        <f t="shared" si="85"/>
        <v>18244.234178457988</v>
      </c>
      <c r="J376" s="33">
        <f t="shared" si="85"/>
        <v>8757.223723751666</v>
      </c>
      <c r="K376" s="33">
        <f t="shared" si="85"/>
        <v>9540.163025838281</v>
      </c>
      <c r="L376" s="33">
        <f t="shared" si="85"/>
        <v>6253.795502824416</v>
      </c>
      <c r="M376" s="33">
        <f t="shared" si="79"/>
        <v>2250.1214918508044</v>
      </c>
      <c r="N376" s="33">
        <f t="shared" si="80"/>
        <v>795.0135854865234</v>
      </c>
      <c r="O376" s="33">
        <f t="shared" si="81"/>
        <v>45840.551508209675</v>
      </c>
      <c r="P376" s="33">
        <f t="shared" si="75"/>
        <v>3896.4468781978226</v>
      </c>
      <c r="Q376" s="33">
        <f t="shared" si="76"/>
        <v>11093.413464986741</v>
      </c>
      <c r="R376" s="33"/>
      <c r="S376" s="33">
        <f t="shared" si="77"/>
        <v>2013.7125284965832</v>
      </c>
      <c r="T376" s="34">
        <f t="shared" si="83"/>
        <v>62844.12437989082</v>
      </c>
      <c r="V376" s="7"/>
    </row>
    <row r="377" spans="1:22" s="5" customFormat="1" ht="12.75" hidden="1">
      <c r="A377" s="30" t="s">
        <v>8</v>
      </c>
      <c r="B377" s="31" t="s">
        <v>123</v>
      </c>
      <c r="C377" s="31">
        <v>7</v>
      </c>
      <c r="D377" s="31" t="s">
        <v>34</v>
      </c>
      <c r="E377" s="32" t="s">
        <v>148</v>
      </c>
      <c r="F377" s="45" t="s">
        <v>149</v>
      </c>
      <c r="G377" s="45"/>
      <c r="H377" s="45"/>
      <c r="I377" s="33">
        <f aca="true" t="shared" si="86" ref="I377:L384">I300*1.0377</f>
        <v>18244.234178457988</v>
      </c>
      <c r="J377" s="33">
        <f t="shared" si="86"/>
        <v>10377.316021166564</v>
      </c>
      <c r="K377" s="33">
        <f t="shared" si="86"/>
        <v>9540.163025838281</v>
      </c>
      <c r="L377" s="33">
        <f t="shared" si="86"/>
        <v>6253.795502824416</v>
      </c>
      <c r="M377" s="33">
        <f t="shared" si="79"/>
        <v>2385.129183302046</v>
      </c>
      <c r="N377" s="33">
        <f t="shared" si="80"/>
        <v>795.0135854865234</v>
      </c>
      <c r="O377" s="33">
        <f t="shared" si="81"/>
        <v>47595.651497075814</v>
      </c>
      <c r="P377" s="33">
        <f aca="true" t="shared" si="87" ref="P377:P384">O377*8.5/100</f>
        <v>4045.6303772514443</v>
      </c>
      <c r="Q377" s="33">
        <f aca="true" t="shared" si="88" ref="Q377:Q384">O377*24.2/100</f>
        <v>11518.147662292346</v>
      </c>
      <c r="R377" s="33"/>
      <c r="S377" s="33">
        <f aca="true" t="shared" si="89" ref="S377:S384">(I377+J377+M377)*80%*7.1%+(K377+N377)*80%*60%*7.1%</f>
        <v>2113.4022078641797</v>
      </c>
      <c r="T377" s="34">
        <f t="shared" si="83"/>
        <v>65272.83174448378</v>
      </c>
      <c r="V377" s="7"/>
    </row>
    <row r="378" spans="1:22" s="5" customFormat="1" ht="12.75" hidden="1">
      <c r="A378" s="30" t="s">
        <v>8</v>
      </c>
      <c r="B378" s="31" t="s">
        <v>123</v>
      </c>
      <c r="C378" s="31">
        <v>8</v>
      </c>
      <c r="D378" s="31" t="s">
        <v>34</v>
      </c>
      <c r="E378" s="32" t="s">
        <v>150</v>
      </c>
      <c r="F378" s="45" t="s">
        <v>151</v>
      </c>
      <c r="G378" s="45"/>
      <c r="H378" s="45"/>
      <c r="I378" s="33">
        <f t="shared" si="86"/>
        <v>18244.234178457988</v>
      </c>
      <c r="J378" s="33">
        <f t="shared" si="86"/>
        <v>11997.408318581456</v>
      </c>
      <c r="K378" s="33">
        <f t="shared" si="86"/>
        <v>9540.163025838281</v>
      </c>
      <c r="L378" s="33">
        <f t="shared" si="86"/>
        <v>6253.795502824416</v>
      </c>
      <c r="M378" s="33">
        <f aca="true" t="shared" si="90" ref="M378:M384">(I378+J378)/12</f>
        <v>2520.136874753287</v>
      </c>
      <c r="N378" s="33">
        <f aca="true" t="shared" si="91" ref="N378:N384">K378/12</f>
        <v>795.0135854865234</v>
      </c>
      <c r="O378" s="33">
        <f aca="true" t="shared" si="92" ref="O378:O384">SUM(I378:N378)</f>
        <v>49350.751485941946</v>
      </c>
      <c r="P378" s="33">
        <f t="shared" si="87"/>
        <v>4194.813876305066</v>
      </c>
      <c r="Q378" s="33">
        <f t="shared" si="88"/>
        <v>11942.88185959795</v>
      </c>
      <c r="R378" s="33"/>
      <c r="S378" s="33">
        <f t="shared" si="89"/>
        <v>2213.091887231776</v>
      </c>
      <c r="T378" s="34">
        <f t="shared" si="83"/>
        <v>67701.53910907674</v>
      </c>
      <c r="V378" s="7"/>
    </row>
    <row r="379" spans="1:22" s="5" customFormat="1" ht="12.75" hidden="1">
      <c r="A379" s="30" t="s">
        <v>8</v>
      </c>
      <c r="B379" s="31" t="s">
        <v>123</v>
      </c>
      <c r="C379" s="31">
        <v>9</v>
      </c>
      <c r="D379" s="31" t="s">
        <v>34</v>
      </c>
      <c r="E379" s="32" t="s">
        <v>152</v>
      </c>
      <c r="F379" s="45" t="s">
        <v>153</v>
      </c>
      <c r="G379" s="45"/>
      <c r="H379" s="45"/>
      <c r="I379" s="33">
        <f t="shared" si="86"/>
        <v>18244.234178457988</v>
      </c>
      <c r="J379" s="33">
        <f t="shared" si="86"/>
        <v>13617.488557790564</v>
      </c>
      <c r="K379" s="33">
        <f t="shared" si="86"/>
        <v>9540.163025838281</v>
      </c>
      <c r="L379" s="33">
        <f t="shared" si="86"/>
        <v>6253.795502824416</v>
      </c>
      <c r="M379" s="33">
        <f t="shared" si="90"/>
        <v>2655.1435613540457</v>
      </c>
      <c r="N379" s="33">
        <f t="shared" si="91"/>
        <v>795.0135854865234</v>
      </c>
      <c r="O379" s="33">
        <f t="shared" si="92"/>
        <v>51105.838411751814</v>
      </c>
      <c r="P379" s="33">
        <f t="shared" si="87"/>
        <v>4343.996264998904</v>
      </c>
      <c r="Q379" s="33">
        <f t="shared" si="88"/>
        <v>12367.612895643939</v>
      </c>
      <c r="R379" s="33"/>
      <c r="S379" s="33">
        <f t="shared" si="89"/>
        <v>2312.7808246177765</v>
      </c>
      <c r="T379" s="34">
        <f t="shared" si="83"/>
        <v>70130.22839701243</v>
      </c>
      <c r="V379" s="7"/>
    </row>
    <row r="380" spans="1:22" s="5" customFormat="1" ht="12.75" hidden="1">
      <c r="A380" s="30" t="s">
        <v>8</v>
      </c>
      <c r="B380" s="31" t="s">
        <v>123</v>
      </c>
      <c r="C380" s="31">
        <v>10</v>
      </c>
      <c r="D380" s="31" t="s">
        <v>34</v>
      </c>
      <c r="E380" s="32" t="s">
        <v>154</v>
      </c>
      <c r="F380" s="45" t="s">
        <v>155</v>
      </c>
      <c r="G380" s="45"/>
      <c r="H380" s="45"/>
      <c r="I380" s="33">
        <f t="shared" si="86"/>
        <v>18244.234178457988</v>
      </c>
      <c r="J380" s="33">
        <f t="shared" si="86"/>
        <v>15237.580855205459</v>
      </c>
      <c r="K380" s="33">
        <f t="shared" si="86"/>
        <v>9540.163025838281</v>
      </c>
      <c r="L380" s="33">
        <f t="shared" si="86"/>
        <v>6253.795502824416</v>
      </c>
      <c r="M380" s="33">
        <f t="shared" si="90"/>
        <v>2790.1512528052867</v>
      </c>
      <c r="N380" s="33">
        <f t="shared" si="91"/>
        <v>795.0135854865234</v>
      </c>
      <c r="O380" s="33">
        <f t="shared" si="92"/>
        <v>52860.938400617946</v>
      </c>
      <c r="P380" s="33">
        <f t="shared" si="87"/>
        <v>4493.179764052526</v>
      </c>
      <c r="Q380" s="33">
        <f t="shared" si="88"/>
        <v>12792.347092949543</v>
      </c>
      <c r="R380" s="33"/>
      <c r="S380" s="33">
        <f t="shared" si="89"/>
        <v>2412.4705039853725</v>
      </c>
      <c r="T380" s="34">
        <f t="shared" si="83"/>
        <v>72558.93576160539</v>
      </c>
      <c r="V380" s="7"/>
    </row>
    <row r="381" spans="1:22" s="5" customFormat="1" ht="12.75" hidden="1">
      <c r="A381" s="30" t="s">
        <v>8</v>
      </c>
      <c r="B381" s="31" t="s">
        <v>123</v>
      </c>
      <c r="C381" s="31">
        <v>11</v>
      </c>
      <c r="D381" s="31" t="s">
        <v>34</v>
      </c>
      <c r="E381" s="32" t="s">
        <v>156</v>
      </c>
      <c r="F381" s="45" t="s">
        <v>157</v>
      </c>
      <c r="G381" s="45"/>
      <c r="H381" s="45"/>
      <c r="I381" s="33">
        <f t="shared" si="86"/>
        <v>18244.234178457988</v>
      </c>
      <c r="J381" s="33">
        <f t="shared" si="86"/>
        <v>16857.673152620355</v>
      </c>
      <c r="K381" s="33">
        <f t="shared" si="86"/>
        <v>9540.163025838281</v>
      </c>
      <c r="L381" s="33">
        <f t="shared" si="86"/>
        <v>6253.795502824416</v>
      </c>
      <c r="M381" s="33">
        <f t="shared" si="90"/>
        <v>2925.1589442565287</v>
      </c>
      <c r="N381" s="33">
        <f t="shared" si="91"/>
        <v>795.0135854865234</v>
      </c>
      <c r="O381" s="33">
        <f t="shared" si="92"/>
        <v>54616.03838948409</v>
      </c>
      <c r="P381" s="33">
        <f t="shared" si="87"/>
        <v>4642.363263106147</v>
      </c>
      <c r="Q381" s="33">
        <f t="shared" si="88"/>
        <v>13217.08129025515</v>
      </c>
      <c r="R381" s="33">
        <v>15.02</v>
      </c>
      <c r="S381" s="33">
        <f t="shared" si="89"/>
        <v>2512.16018335297</v>
      </c>
      <c r="T381" s="34">
        <f>O381+P381+Q381+R381+S381</f>
        <v>75002.66312619837</v>
      </c>
      <c r="V381" s="7"/>
    </row>
    <row r="382" spans="1:22" s="5" customFormat="1" ht="12.75" hidden="1">
      <c r="A382" s="30" t="s">
        <v>8</v>
      </c>
      <c r="B382" s="31" t="s">
        <v>123</v>
      </c>
      <c r="C382" s="31">
        <v>12</v>
      </c>
      <c r="D382" s="31" t="s">
        <v>34</v>
      </c>
      <c r="E382" s="32" t="s">
        <v>158</v>
      </c>
      <c r="F382" s="45" t="s">
        <v>159</v>
      </c>
      <c r="G382" s="45"/>
      <c r="H382" s="45"/>
      <c r="I382" s="33">
        <f t="shared" si="86"/>
        <v>18244.234178457988</v>
      </c>
      <c r="J382" s="33">
        <f t="shared" si="86"/>
        <v>18477.753391829458</v>
      </c>
      <c r="K382" s="33">
        <f t="shared" si="86"/>
        <v>9540.163025838281</v>
      </c>
      <c r="L382" s="33">
        <f t="shared" si="86"/>
        <v>6253.795502824416</v>
      </c>
      <c r="M382" s="33">
        <f t="shared" si="90"/>
        <v>3060.165630857287</v>
      </c>
      <c r="N382" s="33">
        <f t="shared" si="91"/>
        <v>795.0135854865234</v>
      </c>
      <c r="O382" s="33">
        <f t="shared" si="92"/>
        <v>56371.125315293946</v>
      </c>
      <c r="P382" s="33">
        <f t="shared" si="87"/>
        <v>4791.5456517999855</v>
      </c>
      <c r="Q382" s="33">
        <f t="shared" si="88"/>
        <v>13641.812326301133</v>
      </c>
      <c r="R382" s="33">
        <v>83.06</v>
      </c>
      <c r="S382" s="33">
        <f t="shared" si="89"/>
        <v>2611.8491207389698</v>
      </c>
      <c r="T382" s="34">
        <f>O382+P382+Q382+R382+S382</f>
        <v>77499.39241413404</v>
      </c>
      <c r="V382" s="7"/>
    </row>
    <row r="383" spans="1:22" s="5" customFormat="1" ht="12.75" hidden="1">
      <c r="A383" s="30" t="s">
        <v>8</v>
      </c>
      <c r="B383" s="31" t="s">
        <v>123</v>
      </c>
      <c r="C383" s="31">
        <v>13</v>
      </c>
      <c r="D383" s="31" t="s">
        <v>34</v>
      </c>
      <c r="E383" s="32" t="s">
        <v>160</v>
      </c>
      <c r="F383" s="45" t="s">
        <v>161</v>
      </c>
      <c r="G383" s="45"/>
      <c r="H383" s="45"/>
      <c r="I383" s="33">
        <f t="shared" si="86"/>
        <v>18244.234178457988</v>
      </c>
      <c r="J383" s="33">
        <f t="shared" si="86"/>
        <v>20097.84568924435</v>
      </c>
      <c r="K383" s="33">
        <f t="shared" si="86"/>
        <v>9540.163025838281</v>
      </c>
      <c r="L383" s="33">
        <f t="shared" si="86"/>
        <v>6253.795502824416</v>
      </c>
      <c r="M383" s="33">
        <f t="shared" si="90"/>
        <v>3195.1733223085284</v>
      </c>
      <c r="N383" s="33">
        <f t="shared" si="91"/>
        <v>795.0135854865234</v>
      </c>
      <c r="O383" s="33">
        <f t="shared" si="92"/>
        <v>58126.22530416009</v>
      </c>
      <c r="P383" s="33">
        <f t="shared" si="87"/>
        <v>4940.729150853607</v>
      </c>
      <c r="Q383" s="33">
        <f t="shared" si="88"/>
        <v>14066.546523606743</v>
      </c>
      <c r="R383" s="33">
        <v>151.07</v>
      </c>
      <c r="S383" s="33">
        <f t="shared" si="89"/>
        <v>2711.5388001065667</v>
      </c>
      <c r="T383" s="34">
        <f>O383+P383+Q383+R383+S383</f>
        <v>79996.10977872703</v>
      </c>
      <c r="V383" s="7"/>
    </row>
    <row r="384" spans="1:22" s="5" customFormat="1" ht="13.5" hidden="1" thickBot="1">
      <c r="A384" s="35" t="s">
        <v>8</v>
      </c>
      <c r="B384" s="36" t="s">
        <v>123</v>
      </c>
      <c r="C384" s="36">
        <v>14</v>
      </c>
      <c r="D384" s="36" t="s">
        <v>34</v>
      </c>
      <c r="E384" s="37" t="s">
        <v>162</v>
      </c>
      <c r="F384" s="46" t="s">
        <v>163</v>
      </c>
      <c r="G384" s="46"/>
      <c r="H384" s="46"/>
      <c r="I384" s="38">
        <f t="shared" si="86"/>
        <v>18244.234178457988</v>
      </c>
      <c r="J384" s="38">
        <f t="shared" si="86"/>
        <v>21717.93798665925</v>
      </c>
      <c r="K384" s="38">
        <f t="shared" si="86"/>
        <v>9540.163025838281</v>
      </c>
      <c r="L384" s="38">
        <f t="shared" si="86"/>
        <v>6253.795502824416</v>
      </c>
      <c r="M384" s="38">
        <f t="shared" si="90"/>
        <v>3330.18101375977</v>
      </c>
      <c r="N384" s="38">
        <f t="shared" si="91"/>
        <v>795.0135854865234</v>
      </c>
      <c r="O384" s="38">
        <f t="shared" si="92"/>
        <v>59881.32529302623</v>
      </c>
      <c r="P384" s="38">
        <f t="shared" si="87"/>
        <v>5089.91264990723</v>
      </c>
      <c r="Q384" s="38">
        <f t="shared" si="88"/>
        <v>14491.28072091235</v>
      </c>
      <c r="R384" s="38">
        <v>219.07</v>
      </c>
      <c r="S384" s="38">
        <f t="shared" si="89"/>
        <v>2811.228479474163</v>
      </c>
      <c r="T384" s="39">
        <f>O384+P384+Q384+R384+S384</f>
        <v>82492.81714331998</v>
      </c>
      <c r="V384" s="7"/>
    </row>
    <row r="385" ht="12.75" hidden="1"/>
    <row r="386" ht="12.75" hidden="1"/>
    <row r="387" ht="12.75" hidden="1"/>
    <row r="388" ht="12.75" hidden="1"/>
    <row r="389" spans="1:22" s="60" customFormat="1" ht="25.5" customHeight="1">
      <c r="A389" s="400" t="s">
        <v>274</v>
      </c>
      <c r="B389" s="401"/>
      <c r="C389" s="401"/>
      <c r="D389" s="401"/>
      <c r="E389" s="401"/>
      <c r="F389" s="402"/>
      <c r="G389" s="402"/>
      <c r="H389" s="402"/>
      <c r="I389" s="402"/>
      <c r="J389" s="402"/>
      <c r="K389" s="402"/>
      <c r="L389" s="402"/>
      <c r="M389" s="58"/>
      <c r="N389" s="58"/>
      <c r="O389" s="58"/>
      <c r="P389" s="58"/>
      <c r="Q389" s="58"/>
      <c r="R389" s="58"/>
      <c r="S389" s="58"/>
      <c r="T389" s="59"/>
      <c r="V389" s="61"/>
    </row>
    <row r="390" spans="4:8" ht="0.75" customHeight="1" thickBot="1">
      <c r="D390" s="62"/>
      <c r="H390" s="63"/>
    </row>
    <row r="391" spans="1:22" s="60" customFormat="1" ht="44.25" customHeight="1" thickBot="1" thickTop="1">
      <c r="A391" s="64" t="s">
        <v>167</v>
      </c>
      <c r="B391" s="65" t="s">
        <v>13</v>
      </c>
      <c r="C391" s="65" t="s">
        <v>14</v>
      </c>
      <c r="D391" s="65" t="s">
        <v>15</v>
      </c>
      <c r="E391" s="65" t="s">
        <v>16</v>
      </c>
      <c r="F391" s="65" t="s">
        <v>17</v>
      </c>
      <c r="G391" s="65"/>
      <c r="H391" s="66" t="s">
        <v>170</v>
      </c>
      <c r="I391" s="65" t="s">
        <v>18</v>
      </c>
      <c r="J391" s="65" t="s">
        <v>19</v>
      </c>
      <c r="K391" s="65" t="s">
        <v>20</v>
      </c>
      <c r="L391" s="67" t="s">
        <v>21</v>
      </c>
      <c r="M391" s="67" t="s">
        <v>22</v>
      </c>
      <c r="N391" s="67" t="s">
        <v>23</v>
      </c>
      <c r="O391" s="68" t="s">
        <v>171</v>
      </c>
      <c r="P391" s="67" t="s">
        <v>25</v>
      </c>
      <c r="Q391" s="67" t="s">
        <v>26</v>
      </c>
      <c r="R391" s="68" t="s">
        <v>27</v>
      </c>
      <c r="S391" s="67" t="s">
        <v>28</v>
      </c>
      <c r="T391" s="67" t="s">
        <v>28</v>
      </c>
      <c r="U391" s="68" t="s">
        <v>172</v>
      </c>
      <c r="V391" s="61"/>
    </row>
    <row r="392" spans="1:22" s="60" customFormat="1" ht="17.25" customHeight="1" thickBot="1" thickTop="1">
      <c r="A392" s="69"/>
      <c r="B392" s="69"/>
      <c r="C392" s="69"/>
      <c r="D392" s="69"/>
      <c r="E392" s="69"/>
      <c r="F392" s="70"/>
      <c r="G392" s="70"/>
      <c r="H392" s="71" t="s">
        <v>173</v>
      </c>
      <c r="I392" s="69"/>
      <c r="J392" s="69"/>
      <c r="K392" s="69"/>
      <c r="L392" s="72"/>
      <c r="M392" s="72"/>
      <c r="N392" s="72"/>
      <c r="O392" s="72" t="s">
        <v>174</v>
      </c>
      <c r="P392" s="72" t="s">
        <v>2</v>
      </c>
      <c r="Q392" s="72" t="s">
        <v>3</v>
      </c>
      <c r="R392" s="72" t="s">
        <v>4</v>
      </c>
      <c r="S392" s="72" t="s">
        <v>5</v>
      </c>
      <c r="T392" s="73"/>
      <c r="U392" s="72" t="s">
        <v>175</v>
      </c>
      <c r="V392" s="61"/>
    </row>
    <row r="393" spans="1:22" s="60" customFormat="1" ht="19.5" customHeight="1" thickTop="1">
      <c r="A393" s="74" t="s">
        <v>10</v>
      </c>
      <c r="B393" s="75" t="s">
        <v>176</v>
      </c>
      <c r="C393" s="74">
        <v>0</v>
      </c>
      <c r="D393" s="74" t="s">
        <v>31</v>
      </c>
      <c r="E393" s="76" t="s">
        <v>32</v>
      </c>
      <c r="F393" s="76" t="s">
        <v>33</v>
      </c>
      <c r="G393" s="76"/>
      <c r="H393" s="77">
        <f>O393+P393+U393</f>
        <v>53469.44065749069</v>
      </c>
      <c r="I393" s="78">
        <f>I313*1.0309</f>
        <v>24795.77516248462</v>
      </c>
      <c r="J393" s="78">
        <f>J313*1.0309</f>
        <v>0</v>
      </c>
      <c r="K393" s="78">
        <f>K313*1.0309</f>
        <v>10320.476419684457</v>
      </c>
      <c r="L393" s="78">
        <f>L313*1.0309</f>
        <v>0</v>
      </c>
      <c r="M393" s="79">
        <f>(I393+J393)/12</f>
        <v>2066.3145968737185</v>
      </c>
      <c r="N393" s="79">
        <f>K393/12</f>
        <v>860.0397016403714</v>
      </c>
      <c r="O393" s="79">
        <f>SUM(I393:N393)</f>
        <v>38042.605880683164</v>
      </c>
      <c r="P393" s="79">
        <f>O393*8.5/100</f>
        <v>3233.621499858069</v>
      </c>
      <c r="Q393" s="79">
        <f>O393*24.2/100</f>
        <v>9206.310623125326</v>
      </c>
      <c r="R393" s="79">
        <f>(I393+J393)*18%*24.2%</f>
        <v>1080.10396607783</v>
      </c>
      <c r="S393" s="79">
        <f aca="true" t="shared" si="93" ref="S393:S457">(I393+J393+M393)*80%*7.1%+(K393+N393)*80%*60%*7.1%</f>
        <v>1906.7986877463038</v>
      </c>
      <c r="T393" s="80">
        <f aca="true" t="shared" si="94" ref="T393:T413">O393+P393+Q393+R393+S393</f>
        <v>53469.4406574907</v>
      </c>
      <c r="U393" s="78">
        <f>Q393+R393+S393</f>
        <v>12193.21327694946</v>
      </c>
      <c r="V393" s="61"/>
    </row>
    <row r="394" spans="1:22" s="60" customFormat="1" ht="19.5" customHeight="1">
      <c r="A394" s="81" t="s">
        <v>10</v>
      </c>
      <c r="B394" s="81" t="s">
        <v>176</v>
      </c>
      <c r="C394" s="81">
        <v>0</v>
      </c>
      <c r="D394" s="81" t="s">
        <v>34</v>
      </c>
      <c r="E394" s="82" t="s">
        <v>35</v>
      </c>
      <c r="F394" s="83" t="s">
        <v>36</v>
      </c>
      <c r="G394" s="83"/>
      <c r="H394" s="84">
        <f aca="true" t="shared" si="95" ref="H394:H458">O394+P394+U394</f>
        <v>77937.32569973994</v>
      </c>
      <c r="I394" s="85">
        <f aca="true" t="shared" si="96" ref="I394:L409">I314*1.0309</f>
        <v>34212.50724423073</v>
      </c>
      <c r="J394" s="85">
        <f t="shared" si="96"/>
        <v>0</v>
      </c>
      <c r="K394" s="85">
        <f t="shared" si="96"/>
        <v>10968.44452729324</v>
      </c>
      <c r="L394" s="85">
        <f t="shared" si="96"/>
        <v>7894.331472859037</v>
      </c>
      <c r="M394" s="86">
        <f aca="true" t="shared" si="97" ref="M394:M457">(I394+J394)/12</f>
        <v>2851.0422703525605</v>
      </c>
      <c r="N394" s="86">
        <f aca="true" t="shared" si="98" ref="N394:N457">K394/12</f>
        <v>914.0370439411034</v>
      </c>
      <c r="O394" s="86">
        <f aca="true" t="shared" si="99" ref="O394:O458">SUM(I394:N394)</f>
        <v>56840.36255867667</v>
      </c>
      <c r="P394" s="86">
        <f aca="true" t="shared" si="100" ref="P394:P457">O394*8.5/100</f>
        <v>4831.430817487517</v>
      </c>
      <c r="Q394" s="86">
        <f aca="true" t="shared" si="101" ref="Q394:Q457">O394*24.2/100</f>
        <v>13755.367739199753</v>
      </c>
      <c r="R394" s="86"/>
      <c r="S394" s="86">
        <f t="shared" si="93"/>
        <v>2510.164584375997</v>
      </c>
      <c r="T394" s="87">
        <f t="shared" si="94"/>
        <v>77937.32569973993</v>
      </c>
      <c r="U394" s="88">
        <f aca="true" t="shared" si="102" ref="U394:U458">Q394+R394+S394</f>
        <v>16265.53232357575</v>
      </c>
      <c r="V394" s="61"/>
    </row>
    <row r="395" spans="1:22" s="60" customFormat="1" ht="19.5" customHeight="1">
      <c r="A395" s="81" t="s">
        <v>10</v>
      </c>
      <c r="B395" s="81" t="s">
        <v>177</v>
      </c>
      <c r="C395" s="81">
        <v>0</v>
      </c>
      <c r="D395" s="81" t="s">
        <v>31</v>
      </c>
      <c r="E395" s="82" t="s">
        <v>38</v>
      </c>
      <c r="F395" s="83"/>
      <c r="G395" s="83"/>
      <c r="H395" s="84">
        <f t="shared" si="95"/>
        <v>56835.169609633886</v>
      </c>
      <c r="I395" s="85">
        <f t="shared" si="96"/>
        <v>26842.892453838693</v>
      </c>
      <c r="J395" s="85">
        <f t="shared" si="96"/>
        <v>0</v>
      </c>
      <c r="K395" s="85">
        <f t="shared" si="96"/>
        <v>10461.329863787492</v>
      </c>
      <c r="L395" s="85">
        <f t="shared" si="96"/>
        <v>0</v>
      </c>
      <c r="M395" s="86">
        <f t="shared" si="97"/>
        <v>2236.9077044865576</v>
      </c>
      <c r="N395" s="86">
        <f t="shared" si="98"/>
        <v>871.7774886489577</v>
      </c>
      <c r="O395" s="86">
        <f t="shared" si="99"/>
        <v>40412.907510761695</v>
      </c>
      <c r="P395" s="86">
        <f t="shared" si="100"/>
        <v>3435.0971384147438</v>
      </c>
      <c r="Q395" s="86">
        <f t="shared" si="101"/>
        <v>9779.923617604329</v>
      </c>
      <c r="R395" s="86">
        <f>(I395+J395)*18%*24.2%</f>
        <v>1169.2763952892135</v>
      </c>
      <c r="S395" s="86">
        <f t="shared" si="93"/>
        <v>2037.9649475639083</v>
      </c>
      <c r="T395" s="87">
        <f t="shared" si="94"/>
        <v>56835.169609633886</v>
      </c>
      <c r="U395" s="88">
        <f t="shared" si="102"/>
        <v>12987.16496045745</v>
      </c>
      <c r="V395" s="61"/>
    </row>
    <row r="396" spans="1:22" s="60" customFormat="1" ht="19.5" customHeight="1">
      <c r="A396" s="81" t="s">
        <v>10</v>
      </c>
      <c r="B396" s="81" t="s">
        <v>177</v>
      </c>
      <c r="C396" s="81">
        <v>0</v>
      </c>
      <c r="D396" s="81" t="s">
        <v>34</v>
      </c>
      <c r="E396" s="82" t="s">
        <v>39</v>
      </c>
      <c r="F396" s="83"/>
      <c r="G396" s="83"/>
      <c r="H396" s="84">
        <f t="shared" si="95"/>
        <v>82524.4897400856</v>
      </c>
      <c r="I396" s="85">
        <f t="shared" si="96"/>
        <v>37078.45404900035</v>
      </c>
      <c r="J396" s="85">
        <f t="shared" si="96"/>
        <v>0</v>
      </c>
      <c r="K396" s="85">
        <f t="shared" si="96"/>
        <v>11165.646807520105</v>
      </c>
      <c r="L396" s="85">
        <f t="shared" si="96"/>
        <v>7894.331472859037</v>
      </c>
      <c r="M396" s="86">
        <f t="shared" si="97"/>
        <v>3089.8711707500293</v>
      </c>
      <c r="N396" s="86">
        <f t="shared" si="98"/>
        <v>930.470567293342</v>
      </c>
      <c r="O396" s="86">
        <f t="shared" si="99"/>
        <v>60158.774067422855</v>
      </c>
      <c r="P396" s="86">
        <f t="shared" si="100"/>
        <v>5113.4957957309425</v>
      </c>
      <c r="Q396" s="86">
        <f t="shared" si="101"/>
        <v>14558.42332431633</v>
      </c>
      <c r="R396" s="86"/>
      <c r="S396" s="86">
        <f t="shared" si="93"/>
        <v>2693.7965526154635</v>
      </c>
      <c r="T396" s="87">
        <f t="shared" si="94"/>
        <v>82524.48974008558</v>
      </c>
      <c r="U396" s="88">
        <f t="shared" si="102"/>
        <v>17252.219876931795</v>
      </c>
      <c r="V396" s="61"/>
    </row>
    <row r="397" spans="1:22" s="60" customFormat="1" ht="19.5" customHeight="1">
      <c r="A397" s="81" t="s">
        <v>10</v>
      </c>
      <c r="B397" s="81" t="s">
        <v>177</v>
      </c>
      <c r="C397" s="81">
        <v>1</v>
      </c>
      <c r="D397" s="81" t="s">
        <v>31</v>
      </c>
      <c r="E397" s="82" t="s">
        <v>40</v>
      </c>
      <c r="F397" s="83"/>
      <c r="G397" s="83"/>
      <c r="H397" s="84">
        <f t="shared" si="95"/>
        <v>60147.96575332664</v>
      </c>
      <c r="I397" s="85">
        <f t="shared" si="96"/>
        <v>26842.892453838693</v>
      </c>
      <c r="J397" s="85">
        <f t="shared" si="96"/>
        <v>2147.4338824679658</v>
      </c>
      <c r="K397" s="85">
        <f t="shared" si="96"/>
        <v>10461.329863787492</v>
      </c>
      <c r="L397" s="85">
        <f t="shared" si="96"/>
        <v>0</v>
      </c>
      <c r="M397" s="86">
        <f t="shared" si="97"/>
        <v>2415.8605280255547</v>
      </c>
      <c r="N397" s="86">
        <f t="shared" si="98"/>
        <v>871.7774886489577</v>
      </c>
      <c r="O397" s="86">
        <f t="shared" si="99"/>
        <v>42739.29421676866</v>
      </c>
      <c r="P397" s="86">
        <f t="shared" si="100"/>
        <v>3632.8400084253367</v>
      </c>
      <c r="Q397" s="86">
        <f t="shared" si="101"/>
        <v>10342.909200458016</v>
      </c>
      <c r="R397" s="86">
        <f>(I397+J397)*18%*24.2%</f>
        <v>1262.818615209518</v>
      </c>
      <c r="S397" s="86">
        <f t="shared" si="93"/>
        <v>2170.103712465104</v>
      </c>
      <c r="T397" s="87">
        <f t="shared" si="94"/>
        <v>60147.965753326636</v>
      </c>
      <c r="U397" s="88">
        <f t="shared" si="102"/>
        <v>13775.83152813264</v>
      </c>
      <c r="V397" s="61"/>
    </row>
    <row r="398" spans="1:22" s="60" customFormat="1" ht="19.5" customHeight="1">
      <c r="A398" s="81" t="s">
        <v>10</v>
      </c>
      <c r="B398" s="81" t="s">
        <v>177</v>
      </c>
      <c r="C398" s="81">
        <v>1</v>
      </c>
      <c r="D398" s="81" t="s">
        <v>34</v>
      </c>
      <c r="E398" s="82" t="s">
        <v>41</v>
      </c>
      <c r="F398" s="83"/>
      <c r="G398" s="83"/>
      <c r="H398" s="84">
        <f t="shared" si="95"/>
        <v>88717.23525009956</v>
      </c>
      <c r="I398" s="85">
        <f t="shared" si="96"/>
        <v>37078.45404900035</v>
      </c>
      <c r="J398" s="85">
        <f t="shared" si="96"/>
        <v>2966.2758266878536</v>
      </c>
      <c r="K398" s="85">
        <f t="shared" si="96"/>
        <v>11165.646807520105</v>
      </c>
      <c r="L398" s="85">
        <f t="shared" si="96"/>
        <v>9210.045097799308</v>
      </c>
      <c r="M398" s="86">
        <f t="shared" si="97"/>
        <v>3337.060822974017</v>
      </c>
      <c r="N398" s="86">
        <f t="shared" si="98"/>
        <v>930.470567293342</v>
      </c>
      <c r="O398" s="86">
        <f t="shared" si="99"/>
        <v>64687.953171274974</v>
      </c>
      <c r="P398" s="86">
        <f t="shared" si="100"/>
        <v>5498.476019558373</v>
      </c>
      <c r="Q398" s="86">
        <f t="shared" si="101"/>
        <v>15654.484667448543</v>
      </c>
      <c r="R398" s="86"/>
      <c r="S398" s="86">
        <f t="shared" si="93"/>
        <v>2876.321391817656</v>
      </c>
      <c r="T398" s="87">
        <f t="shared" si="94"/>
        <v>88717.23525009956</v>
      </c>
      <c r="U398" s="88">
        <f t="shared" si="102"/>
        <v>18530.8060592662</v>
      </c>
      <c r="V398" s="61"/>
    </row>
    <row r="399" spans="1:22" s="60" customFormat="1" ht="19.5" customHeight="1">
      <c r="A399" s="81" t="s">
        <v>10</v>
      </c>
      <c r="B399" s="81" t="s">
        <v>177</v>
      </c>
      <c r="C399" s="81">
        <v>2</v>
      </c>
      <c r="D399" s="81" t="s">
        <v>31</v>
      </c>
      <c r="E399" s="82" t="s">
        <v>42</v>
      </c>
      <c r="F399" s="83"/>
      <c r="G399" s="83"/>
      <c r="H399" s="84">
        <f t="shared" si="95"/>
        <v>63460.76189701937</v>
      </c>
      <c r="I399" s="85">
        <f t="shared" si="96"/>
        <v>26842.892453838693</v>
      </c>
      <c r="J399" s="85">
        <f t="shared" si="96"/>
        <v>4294.8677649359315</v>
      </c>
      <c r="K399" s="85">
        <f t="shared" si="96"/>
        <v>10461.329863787492</v>
      </c>
      <c r="L399" s="85">
        <f t="shared" si="96"/>
        <v>0</v>
      </c>
      <c r="M399" s="86">
        <f t="shared" si="97"/>
        <v>2594.813351564552</v>
      </c>
      <c r="N399" s="86">
        <f t="shared" si="98"/>
        <v>871.7774886489577</v>
      </c>
      <c r="O399" s="86">
        <f t="shared" si="99"/>
        <v>45065.680922775624</v>
      </c>
      <c r="P399" s="86">
        <f t="shared" si="100"/>
        <v>3830.5828784359283</v>
      </c>
      <c r="Q399" s="86">
        <f t="shared" si="101"/>
        <v>10905.8947833117</v>
      </c>
      <c r="R399" s="86">
        <f>(I399+J399)*18%*24.2%</f>
        <v>1356.3608351298224</v>
      </c>
      <c r="S399" s="86">
        <f t="shared" si="93"/>
        <v>2302.242477366299</v>
      </c>
      <c r="T399" s="87">
        <f t="shared" si="94"/>
        <v>63460.76189701937</v>
      </c>
      <c r="U399" s="88">
        <f t="shared" si="102"/>
        <v>14564.498095807821</v>
      </c>
      <c r="V399" s="61"/>
    </row>
    <row r="400" spans="1:22" s="60" customFormat="1" ht="19.5" customHeight="1">
      <c r="A400" s="81" t="s">
        <v>10</v>
      </c>
      <c r="B400" s="81" t="s">
        <v>177</v>
      </c>
      <c r="C400" s="81">
        <v>2</v>
      </c>
      <c r="D400" s="81" t="s">
        <v>34</v>
      </c>
      <c r="E400" s="82" t="s">
        <v>43</v>
      </c>
      <c r="F400" s="83" t="s">
        <v>44</v>
      </c>
      <c r="G400" s="83"/>
      <c r="H400" s="84">
        <f t="shared" si="95"/>
        <v>93164.02877981776</v>
      </c>
      <c r="I400" s="85">
        <f t="shared" si="96"/>
        <v>37078.45404900035</v>
      </c>
      <c r="J400" s="85">
        <f t="shared" si="96"/>
        <v>5932.551653375707</v>
      </c>
      <c r="K400" s="85">
        <f t="shared" si="96"/>
        <v>11165.646807520105</v>
      </c>
      <c r="L400" s="85">
        <f t="shared" si="96"/>
        <v>9210.045097799308</v>
      </c>
      <c r="M400" s="86">
        <f t="shared" si="97"/>
        <v>3584.250475198005</v>
      </c>
      <c r="N400" s="86">
        <f t="shared" si="98"/>
        <v>930.470567293342</v>
      </c>
      <c r="O400" s="86">
        <f t="shared" si="99"/>
        <v>67901.41865018682</v>
      </c>
      <c r="P400" s="86">
        <f t="shared" si="100"/>
        <v>5771.62058526588</v>
      </c>
      <c r="Q400" s="86">
        <f t="shared" si="101"/>
        <v>16432.143313345212</v>
      </c>
      <c r="R400" s="86"/>
      <c r="S400" s="86">
        <f t="shared" si="93"/>
        <v>3058.846231019849</v>
      </c>
      <c r="T400" s="87">
        <f t="shared" si="94"/>
        <v>93164.02877981776</v>
      </c>
      <c r="U400" s="88">
        <f t="shared" si="102"/>
        <v>19490.98954436506</v>
      </c>
      <c r="V400" s="61"/>
    </row>
    <row r="401" spans="1:22" s="60" customFormat="1" ht="19.5" customHeight="1">
      <c r="A401" s="81" t="s">
        <v>10</v>
      </c>
      <c r="B401" s="81" t="s">
        <v>177</v>
      </c>
      <c r="C401" s="81">
        <v>3</v>
      </c>
      <c r="D401" s="81" t="s">
        <v>31</v>
      </c>
      <c r="E401" s="82" t="s">
        <v>45</v>
      </c>
      <c r="F401" s="83"/>
      <c r="G401" s="83"/>
      <c r="H401" s="84">
        <f t="shared" si="95"/>
        <v>66773.55804071212</v>
      </c>
      <c r="I401" s="85">
        <f t="shared" si="96"/>
        <v>26842.892453838693</v>
      </c>
      <c r="J401" s="85">
        <f t="shared" si="96"/>
        <v>6442.301647403896</v>
      </c>
      <c r="K401" s="85">
        <f t="shared" si="96"/>
        <v>10461.329863787492</v>
      </c>
      <c r="L401" s="85">
        <f t="shared" si="96"/>
        <v>0</v>
      </c>
      <c r="M401" s="86">
        <f t="shared" si="97"/>
        <v>2773.766175103549</v>
      </c>
      <c r="N401" s="86">
        <f t="shared" si="98"/>
        <v>871.7774886489577</v>
      </c>
      <c r="O401" s="86">
        <f t="shared" si="99"/>
        <v>47392.067628782585</v>
      </c>
      <c r="P401" s="86">
        <f t="shared" si="100"/>
        <v>4028.32574844652</v>
      </c>
      <c r="Q401" s="86">
        <f t="shared" si="101"/>
        <v>11468.880366165384</v>
      </c>
      <c r="R401" s="86">
        <f>(I401+J401)*18%*24.2%</f>
        <v>1449.903055050127</v>
      </c>
      <c r="S401" s="86">
        <f t="shared" si="93"/>
        <v>2434.3812422674946</v>
      </c>
      <c r="T401" s="87">
        <f t="shared" si="94"/>
        <v>66773.5580407121</v>
      </c>
      <c r="U401" s="88">
        <f t="shared" si="102"/>
        <v>15353.164663483005</v>
      </c>
      <c r="V401" s="61"/>
    </row>
    <row r="402" spans="1:22" s="60" customFormat="1" ht="19.5" customHeight="1">
      <c r="A402" s="81" t="s">
        <v>10</v>
      </c>
      <c r="B402" s="81" t="s">
        <v>177</v>
      </c>
      <c r="C402" s="81">
        <v>3</v>
      </c>
      <c r="D402" s="81" t="s">
        <v>34</v>
      </c>
      <c r="E402" s="82" t="s">
        <v>46</v>
      </c>
      <c r="F402" s="83" t="s">
        <v>47</v>
      </c>
      <c r="G402" s="83"/>
      <c r="H402" s="84">
        <f t="shared" si="95"/>
        <v>99356.79078550907</v>
      </c>
      <c r="I402" s="85">
        <f t="shared" si="96"/>
        <v>37078.45404900035</v>
      </c>
      <c r="J402" s="85">
        <f t="shared" si="96"/>
        <v>8898.82748006356</v>
      </c>
      <c r="K402" s="85">
        <f t="shared" si="96"/>
        <v>11165.646807520105</v>
      </c>
      <c r="L402" s="85">
        <f t="shared" si="96"/>
        <v>10525.771153543928</v>
      </c>
      <c r="M402" s="86">
        <f t="shared" si="97"/>
        <v>3831.4401274219927</v>
      </c>
      <c r="N402" s="86">
        <f t="shared" si="98"/>
        <v>930.470567293342</v>
      </c>
      <c r="O402" s="86">
        <f t="shared" si="99"/>
        <v>72430.61018484327</v>
      </c>
      <c r="P402" s="86">
        <f t="shared" si="100"/>
        <v>6156.601865711677</v>
      </c>
      <c r="Q402" s="86">
        <f t="shared" si="101"/>
        <v>17528.207664732072</v>
      </c>
      <c r="R402" s="86"/>
      <c r="S402" s="86">
        <f t="shared" si="93"/>
        <v>3241.3710702220415</v>
      </c>
      <c r="T402" s="87">
        <f t="shared" si="94"/>
        <v>99356.79078550906</v>
      </c>
      <c r="U402" s="88">
        <f t="shared" si="102"/>
        <v>20769.578734954113</v>
      </c>
      <c r="V402" s="61"/>
    </row>
    <row r="403" spans="1:22" s="60" customFormat="1" ht="19.5" customHeight="1">
      <c r="A403" s="81" t="s">
        <v>10</v>
      </c>
      <c r="B403" s="81" t="s">
        <v>177</v>
      </c>
      <c r="C403" s="81">
        <v>4</v>
      </c>
      <c r="D403" s="81" t="s">
        <v>31</v>
      </c>
      <c r="E403" s="82" t="s">
        <v>48</v>
      </c>
      <c r="F403" s="83"/>
      <c r="G403" s="83"/>
      <c r="H403" s="84">
        <f t="shared" si="95"/>
        <v>70086.35418440485</v>
      </c>
      <c r="I403" s="85">
        <f t="shared" si="96"/>
        <v>26842.892453838693</v>
      </c>
      <c r="J403" s="85">
        <f t="shared" si="96"/>
        <v>8589.735529871863</v>
      </c>
      <c r="K403" s="85">
        <f t="shared" si="96"/>
        <v>10461.329863787492</v>
      </c>
      <c r="L403" s="85">
        <f t="shared" si="96"/>
        <v>0</v>
      </c>
      <c r="M403" s="86">
        <f t="shared" si="97"/>
        <v>2952.718998642546</v>
      </c>
      <c r="N403" s="86">
        <f t="shared" si="98"/>
        <v>871.7774886489577</v>
      </c>
      <c r="O403" s="86">
        <f t="shared" si="99"/>
        <v>49718.454334789545</v>
      </c>
      <c r="P403" s="86">
        <f t="shared" si="100"/>
        <v>4226.068618457111</v>
      </c>
      <c r="Q403" s="86">
        <f t="shared" si="101"/>
        <v>12031.86594901907</v>
      </c>
      <c r="R403" s="86">
        <f>(I403+J403)*18%*24.2%</f>
        <v>1543.4452749704317</v>
      </c>
      <c r="S403" s="86">
        <f t="shared" si="93"/>
        <v>2566.52000716869</v>
      </c>
      <c r="T403" s="87">
        <f t="shared" si="94"/>
        <v>70086.35418440485</v>
      </c>
      <c r="U403" s="88">
        <f t="shared" si="102"/>
        <v>16141.831231158192</v>
      </c>
      <c r="V403" s="61"/>
    </row>
    <row r="404" spans="1:22" s="60" customFormat="1" ht="19.5" customHeight="1">
      <c r="A404" s="81" t="s">
        <v>10</v>
      </c>
      <c r="B404" s="81" t="s">
        <v>177</v>
      </c>
      <c r="C404" s="81">
        <v>4</v>
      </c>
      <c r="D404" s="81" t="s">
        <v>34</v>
      </c>
      <c r="E404" s="82" t="s">
        <v>49</v>
      </c>
      <c r="F404" s="83" t="s">
        <v>50</v>
      </c>
      <c r="G404" s="83"/>
      <c r="H404" s="84">
        <f t="shared" si="95"/>
        <v>103803.58431522729</v>
      </c>
      <c r="I404" s="85">
        <f t="shared" si="96"/>
        <v>37078.45404900035</v>
      </c>
      <c r="J404" s="85">
        <f t="shared" si="96"/>
        <v>11865.103306751414</v>
      </c>
      <c r="K404" s="85">
        <f t="shared" si="96"/>
        <v>11165.646807520105</v>
      </c>
      <c r="L404" s="85">
        <f t="shared" si="96"/>
        <v>10525.771153543928</v>
      </c>
      <c r="M404" s="86">
        <f t="shared" si="97"/>
        <v>4078.6297796459803</v>
      </c>
      <c r="N404" s="86">
        <f t="shared" si="98"/>
        <v>930.470567293342</v>
      </c>
      <c r="O404" s="86">
        <f t="shared" si="99"/>
        <v>75644.07566375512</v>
      </c>
      <c r="P404" s="86">
        <f t="shared" si="100"/>
        <v>6429.746431419186</v>
      </c>
      <c r="Q404" s="86">
        <f t="shared" si="101"/>
        <v>18305.86631062874</v>
      </c>
      <c r="R404" s="86"/>
      <c r="S404" s="86">
        <f t="shared" si="93"/>
        <v>3423.8959094242346</v>
      </c>
      <c r="T404" s="87">
        <f t="shared" si="94"/>
        <v>103803.58431522729</v>
      </c>
      <c r="U404" s="88">
        <f t="shared" si="102"/>
        <v>21729.762220052973</v>
      </c>
      <c r="V404" s="61"/>
    </row>
    <row r="405" spans="1:22" s="60" customFormat="1" ht="19.5" customHeight="1">
      <c r="A405" s="81" t="s">
        <v>10</v>
      </c>
      <c r="B405" s="81" t="s">
        <v>177</v>
      </c>
      <c r="C405" s="81">
        <v>5</v>
      </c>
      <c r="D405" s="81" t="s">
        <v>31</v>
      </c>
      <c r="E405" s="82" t="s">
        <v>51</v>
      </c>
      <c r="F405" s="83"/>
      <c r="G405" s="83"/>
      <c r="H405" s="84">
        <f t="shared" si="95"/>
        <v>73399.1503280976</v>
      </c>
      <c r="I405" s="85">
        <f t="shared" si="96"/>
        <v>26842.892453838693</v>
      </c>
      <c r="J405" s="85">
        <f t="shared" si="96"/>
        <v>10737.169412339827</v>
      </c>
      <c r="K405" s="85">
        <f t="shared" si="96"/>
        <v>10461.329863787492</v>
      </c>
      <c r="L405" s="85">
        <f t="shared" si="96"/>
        <v>0</v>
      </c>
      <c r="M405" s="86">
        <f t="shared" si="97"/>
        <v>3131.671822181543</v>
      </c>
      <c r="N405" s="86">
        <f t="shared" si="98"/>
        <v>871.7774886489577</v>
      </c>
      <c r="O405" s="86">
        <f t="shared" si="99"/>
        <v>52044.84104079651</v>
      </c>
      <c r="P405" s="86">
        <f t="shared" si="100"/>
        <v>4423.811488467703</v>
      </c>
      <c r="Q405" s="86">
        <f t="shared" si="101"/>
        <v>12594.851531872757</v>
      </c>
      <c r="R405" s="86">
        <f>(I405+J405)*18%*24.2%</f>
        <v>1636.9874948907363</v>
      </c>
      <c r="S405" s="86">
        <f t="shared" si="93"/>
        <v>2698.658772069886</v>
      </c>
      <c r="T405" s="87">
        <f t="shared" si="94"/>
        <v>73399.1503280976</v>
      </c>
      <c r="U405" s="88">
        <f t="shared" si="102"/>
        <v>16930.497798833378</v>
      </c>
      <c r="V405" s="61"/>
    </row>
    <row r="406" spans="1:22" s="60" customFormat="1" ht="19.5" customHeight="1">
      <c r="A406" s="81" t="s">
        <v>10</v>
      </c>
      <c r="B406" s="81" t="s">
        <v>177</v>
      </c>
      <c r="C406" s="81">
        <v>5</v>
      </c>
      <c r="D406" s="81" t="s">
        <v>34</v>
      </c>
      <c r="E406" s="82" t="s">
        <v>52</v>
      </c>
      <c r="F406" s="83" t="s">
        <v>53</v>
      </c>
      <c r="G406" s="83"/>
      <c r="H406" s="84">
        <f t="shared" si="95"/>
        <v>109996.32982524124</v>
      </c>
      <c r="I406" s="85">
        <f t="shared" si="96"/>
        <v>37078.45404900035</v>
      </c>
      <c r="J406" s="85">
        <f t="shared" si="96"/>
        <v>14831.379133439266</v>
      </c>
      <c r="K406" s="85">
        <f t="shared" si="96"/>
        <v>11165.646807520105</v>
      </c>
      <c r="L406" s="85">
        <f t="shared" si="96"/>
        <v>11841.4847784842</v>
      </c>
      <c r="M406" s="86">
        <f t="shared" si="97"/>
        <v>4325.819431869968</v>
      </c>
      <c r="N406" s="86">
        <f t="shared" si="98"/>
        <v>930.470567293342</v>
      </c>
      <c r="O406" s="86">
        <f t="shared" si="99"/>
        <v>80173.25476760724</v>
      </c>
      <c r="P406" s="86">
        <f t="shared" si="100"/>
        <v>6814.726655246615</v>
      </c>
      <c r="Q406" s="86">
        <f t="shared" si="101"/>
        <v>19401.92765376095</v>
      </c>
      <c r="R406" s="86"/>
      <c r="S406" s="86">
        <f t="shared" si="93"/>
        <v>3606.4207486264263</v>
      </c>
      <c r="T406" s="87">
        <f t="shared" si="94"/>
        <v>109996.32982524124</v>
      </c>
      <c r="U406" s="88">
        <f t="shared" si="102"/>
        <v>23008.34840238738</v>
      </c>
      <c r="V406" s="61"/>
    </row>
    <row r="407" spans="1:22" s="60" customFormat="1" ht="19.5" customHeight="1">
      <c r="A407" s="81" t="s">
        <v>10</v>
      </c>
      <c r="B407" s="81" t="s">
        <v>177</v>
      </c>
      <c r="C407" s="81">
        <v>6</v>
      </c>
      <c r="D407" s="81" t="s">
        <v>31</v>
      </c>
      <c r="E407" s="82" t="s">
        <v>54</v>
      </c>
      <c r="F407" s="83" t="s">
        <v>55</v>
      </c>
      <c r="G407" s="83"/>
      <c r="H407" s="84">
        <f t="shared" si="95"/>
        <v>76711.94647179033</v>
      </c>
      <c r="I407" s="85">
        <f t="shared" si="96"/>
        <v>26842.892453838693</v>
      </c>
      <c r="J407" s="85">
        <f t="shared" si="96"/>
        <v>12884.603294807792</v>
      </c>
      <c r="K407" s="85">
        <f t="shared" si="96"/>
        <v>10461.329863787492</v>
      </c>
      <c r="L407" s="85">
        <f t="shared" si="96"/>
        <v>0</v>
      </c>
      <c r="M407" s="86">
        <f t="shared" si="97"/>
        <v>3310.6246457205402</v>
      </c>
      <c r="N407" s="86">
        <f t="shared" si="98"/>
        <v>871.7774886489577</v>
      </c>
      <c r="O407" s="86">
        <f t="shared" si="99"/>
        <v>54371.22774680347</v>
      </c>
      <c r="P407" s="86">
        <f t="shared" si="100"/>
        <v>4621.554358478295</v>
      </c>
      <c r="Q407" s="86">
        <f t="shared" si="101"/>
        <v>13157.83711472644</v>
      </c>
      <c r="R407" s="86">
        <f>(I407+J407)*18%*24.2%</f>
        <v>1730.5297148110408</v>
      </c>
      <c r="S407" s="86">
        <f t="shared" si="93"/>
        <v>2830.797536971081</v>
      </c>
      <c r="T407" s="87">
        <f t="shared" si="94"/>
        <v>76711.94647179032</v>
      </c>
      <c r="U407" s="88">
        <f t="shared" si="102"/>
        <v>17719.16436650856</v>
      </c>
      <c r="V407" s="61"/>
    </row>
    <row r="408" spans="1:22" s="60" customFormat="1" ht="19.5" customHeight="1">
      <c r="A408" s="81" t="s">
        <v>10</v>
      </c>
      <c r="B408" s="81" t="s">
        <v>177</v>
      </c>
      <c r="C408" s="81">
        <v>6</v>
      </c>
      <c r="D408" s="81" t="s">
        <v>34</v>
      </c>
      <c r="E408" s="82" t="s">
        <v>56</v>
      </c>
      <c r="F408" s="83" t="s">
        <v>57</v>
      </c>
      <c r="G408" s="83"/>
      <c r="H408" s="84">
        <f t="shared" si="95"/>
        <v>116189.09183093256</v>
      </c>
      <c r="I408" s="85">
        <f t="shared" si="96"/>
        <v>37078.45404900035</v>
      </c>
      <c r="J408" s="85">
        <f t="shared" si="96"/>
        <v>17797.65496012712</v>
      </c>
      <c r="K408" s="85">
        <f t="shared" si="96"/>
        <v>11165.646807520105</v>
      </c>
      <c r="L408" s="85">
        <f t="shared" si="96"/>
        <v>13157.210834228827</v>
      </c>
      <c r="M408" s="86">
        <f t="shared" si="97"/>
        <v>4573.009084093956</v>
      </c>
      <c r="N408" s="86">
        <f t="shared" si="98"/>
        <v>930.470567293342</v>
      </c>
      <c r="O408" s="86">
        <f t="shared" si="99"/>
        <v>84702.4463022637</v>
      </c>
      <c r="P408" s="86">
        <f t="shared" si="100"/>
        <v>7199.707935692415</v>
      </c>
      <c r="Q408" s="86">
        <f t="shared" si="101"/>
        <v>20497.992005147815</v>
      </c>
      <c r="R408" s="86"/>
      <c r="S408" s="86">
        <f t="shared" si="93"/>
        <v>3788.945587828619</v>
      </c>
      <c r="T408" s="87">
        <f t="shared" si="94"/>
        <v>116189.09183093256</v>
      </c>
      <c r="U408" s="88">
        <f t="shared" si="102"/>
        <v>24286.937592976436</v>
      </c>
      <c r="V408" s="61"/>
    </row>
    <row r="409" spans="1:22" s="60" customFormat="1" ht="19.5" customHeight="1">
      <c r="A409" s="81" t="s">
        <v>10</v>
      </c>
      <c r="B409" s="81" t="s">
        <v>177</v>
      </c>
      <c r="C409" s="81">
        <v>7</v>
      </c>
      <c r="D409" s="81" t="s">
        <v>34</v>
      </c>
      <c r="E409" s="82" t="s">
        <v>58</v>
      </c>
      <c r="F409" s="83" t="s">
        <v>59</v>
      </c>
      <c r="G409" s="83"/>
      <c r="H409" s="84">
        <f t="shared" si="95"/>
        <v>121125.04140747595</v>
      </c>
      <c r="I409" s="85">
        <f t="shared" si="96"/>
        <v>37078.45404900035</v>
      </c>
      <c r="J409" s="85">
        <f t="shared" si="96"/>
        <v>21090.226970228683</v>
      </c>
      <c r="K409" s="85">
        <f t="shared" si="96"/>
        <v>11165.646807520105</v>
      </c>
      <c r="L409" s="85">
        <f t="shared" si="96"/>
        <v>13157.210834228827</v>
      </c>
      <c r="M409" s="86">
        <f t="shared" si="97"/>
        <v>4847.390084935752</v>
      </c>
      <c r="N409" s="86">
        <f t="shared" si="98"/>
        <v>930.470567293342</v>
      </c>
      <c r="O409" s="86">
        <f t="shared" si="99"/>
        <v>88269.39931320705</v>
      </c>
      <c r="P409" s="86">
        <f t="shared" si="100"/>
        <v>7502.898941622599</v>
      </c>
      <c r="Q409" s="86">
        <f t="shared" si="101"/>
        <v>21361.1946337961</v>
      </c>
      <c r="R409" s="86"/>
      <c r="S409" s="86">
        <f t="shared" si="93"/>
        <v>3991.5485188502016</v>
      </c>
      <c r="T409" s="87">
        <f t="shared" si="94"/>
        <v>121125.04140747595</v>
      </c>
      <c r="U409" s="88">
        <f t="shared" si="102"/>
        <v>25352.743152646304</v>
      </c>
      <c r="V409" s="61"/>
    </row>
    <row r="410" spans="1:22" s="60" customFormat="1" ht="19.5" customHeight="1">
      <c r="A410" s="81" t="s">
        <v>10</v>
      </c>
      <c r="B410" s="81" t="s">
        <v>177</v>
      </c>
      <c r="C410" s="81">
        <v>8</v>
      </c>
      <c r="D410" s="81" t="s">
        <v>34</v>
      </c>
      <c r="E410" s="82" t="s">
        <v>60</v>
      </c>
      <c r="F410" s="83" t="s">
        <v>61</v>
      </c>
      <c r="G410" s="83"/>
      <c r="H410" s="84">
        <f t="shared" si="95"/>
        <v>126060.9909840194</v>
      </c>
      <c r="I410" s="85">
        <f aca="true" t="shared" si="103" ref="I410:L416">I330*1.0309</f>
        <v>37078.45404900035</v>
      </c>
      <c r="J410" s="85">
        <f t="shared" si="103"/>
        <v>24382.798980330244</v>
      </c>
      <c r="K410" s="85">
        <f t="shared" si="103"/>
        <v>11165.646807520105</v>
      </c>
      <c r="L410" s="85">
        <f t="shared" si="103"/>
        <v>13157.210834228827</v>
      </c>
      <c r="M410" s="86">
        <f t="shared" si="97"/>
        <v>5121.771085777549</v>
      </c>
      <c r="N410" s="86">
        <f t="shared" si="98"/>
        <v>930.470567293342</v>
      </c>
      <c r="O410" s="86">
        <f t="shared" si="99"/>
        <v>91836.35232415043</v>
      </c>
      <c r="P410" s="86">
        <f t="shared" si="100"/>
        <v>7806.089947552787</v>
      </c>
      <c r="Q410" s="86">
        <f t="shared" si="101"/>
        <v>22224.397262444403</v>
      </c>
      <c r="R410" s="86"/>
      <c r="S410" s="86">
        <f t="shared" si="93"/>
        <v>4194.151449871784</v>
      </c>
      <c r="T410" s="87">
        <f t="shared" si="94"/>
        <v>126060.9909840194</v>
      </c>
      <c r="U410" s="88">
        <f t="shared" si="102"/>
        <v>26418.548712316187</v>
      </c>
      <c r="V410" s="61"/>
    </row>
    <row r="411" spans="1:22" s="60" customFormat="1" ht="19.5" customHeight="1">
      <c r="A411" s="81" t="s">
        <v>10</v>
      </c>
      <c r="B411" s="81" t="s">
        <v>177</v>
      </c>
      <c r="C411" s="81">
        <v>9</v>
      </c>
      <c r="D411" s="81" t="s">
        <v>34</v>
      </c>
      <c r="E411" s="82" t="s">
        <v>62</v>
      </c>
      <c r="F411" s="83" t="s">
        <v>63</v>
      </c>
      <c r="G411" s="83"/>
      <c r="H411" s="84">
        <f t="shared" si="95"/>
        <v>130996.92192533682</v>
      </c>
      <c r="I411" s="85">
        <f t="shared" si="103"/>
        <v>37078.45404900035</v>
      </c>
      <c r="J411" s="85">
        <f t="shared" si="103"/>
        <v>27675.358559627457</v>
      </c>
      <c r="K411" s="85">
        <f t="shared" si="103"/>
        <v>11165.646807520105</v>
      </c>
      <c r="L411" s="85">
        <f t="shared" si="103"/>
        <v>13157.210834228827</v>
      </c>
      <c r="M411" s="86">
        <f t="shared" si="97"/>
        <v>5396.151050718984</v>
      </c>
      <c r="N411" s="86">
        <f t="shared" si="98"/>
        <v>930.470567293342</v>
      </c>
      <c r="O411" s="86">
        <f t="shared" si="99"/>
        <v>95403.29186838906</v>
      </c>
      <c r="P411" s="86">
        <f t="shared" si="100"/>
        <v>8109.27980881307</v>
      </c>
      <c r="Q411" s="86">
        <f t="shared" si="101"/>
        <v>23087.59663215015</v>
      </c>
      <c r="R411" s="86"/>
      <c r="S411" s="86">
        <f t="shared" si="93"/>
        <v>4396.7536159845395</v>
      </c>
      <c r="T411" s="87">
        <f t="shared" si="94"/>
        <v>130996.9219253368</v>
      </c>
      <c r="U411" s="88">
        <f t="shared" si="102"/>
        <v>27484.35024813469</v>
      </c>
      <c r="V411" s="61"/>
    </row>
    <row r="412" spans="1:22" s="60" customFormat="1" ht="19.5" customHeight="1">
      <c r="A412" s="81" t="s">
        <v>10</v>
      </c>
      <c r="B412" s="81" t="s">
        <v>177</v>
      </c>
      <c r="C412" s="81">
        <v>10</v>
      </c>
      <c r="D412" s="81" t="s">
        <v>34</v>
      </c>
      <c r="E412" s="82" t="s">
        <v>64</v>
      </c>
      <c r="F412" s="83" t="s">
        <v>65</v>
      </c>
      <c r="G412" s="83"/>
      <c r="H412" s="84">
        <f t="shared" si="95"/>
        <v>135932.87150188026</v>
      </c>
      <c r="I412" s="85">
        <f t="shared" si="103"/>
        <v>37078.45404900035</v>
      </c>
      <c r="J412" s="85">
        <f t="shared" si="103"/>
        <v>30967.930569729022</v>
      </c>
      <c r="K412" s="85">
        <f t="shared" si="103"/>
        <v>11165.646807520105</v>
      </c>
      <c r="L412" s="85">
        <f t="shared" si="103"/>
        <v>13157.210834228827</v>
      </c>
      <c r="M412" s="86">
        <f t="shared" si="97"/>
        <v>5670.532051560781</v>
      </c>
      <c r="N412" s="86">
        <f t="shared" si="98"/>
        <v>930.470567293342</v>
      </c>
      <c r="O412" s="86">
        <f t="shared" si="99"/>
        <v>98970.24487933243</v>
      </c>
      <c r="P412" s="86">
        <f t="shared" si="100"/>
        <v>8412.470814743256</v>
      </c>
      <c r="Q412" s="86">
        <f t="shared" si="101"/>
        <v>23950.799260798445</v>
      </c>
      <c r="R412" s="86"/>
      <c r="S412" s="86">
        <f t="shared" si="93"/>
        <v>4599.356547006122</v>
      </c>
      <c r="T412" s="87">
        <f t="shared" si="94"/>
        <v>135932.87150188023</v>
      </c>
      <c r="U412" s="88">
        <f t="shared" si="102"/>
        <v>28550.155807804567</v>
      </c>
      <c r="V412" s="61"/>
    </row>
    <row r="413" spans="1:22" s="60" customFormat="1" ht="19.5" customHeight="1">
      <c r="A413" s="81" t="s">
        <v>10</v>
      </c>
      <c r="B413" s="81" t="s">
        <v>177</v>
      </c>
      <c r="C413" s="81">
        <v>11</v>
      </c>
      <c r="D413" s="81" t="s">
        <v>34</v>
      </c>
      <c r="E413" s="82" t="s">
        <v>66</v>
      </c>
      <c r="F413" s="83" t="s">
        <v>67</v>
      </c>
      <c r="G413" s="83"/>
      <c r="H413" s="84">
        <f t="shared" si="95"/>
        <v>140868.8024431977</v>
      </c>
      <c r="I413" s="85">
        <f t="shared" si="103"/>
        <v>37078.45404900035</v>
      </c>
      <c r="J413" s="85">
        <f t="shared" si="103"/>
        <v>34260.490149026235</v>
      </c>
      <c r="K413" s="85">
        <f t="shared" si="103"/>
        <v>11165.646807520105</v>
      </c>
      <c r="L413" s="85">
        <f t="shared" si="103"/>
        <v>13157.210834228827</v>
      </c>
      <c r="M413" s="86">
        <f t="shared" si="97"/>
        <v>5944.912016502215</v>
      </c>
      <c r="N413" s="86">
        <f t="shared" si="98"/>
        <v>930.470567293342</v>
      </c>
      <c r="O413" s="86">
        <f t="shared" si="99"/>
        <v>102537.18442357107</v>
      </c>
      <c r="P413" s="86">
        <f t="shared" si="100"/>
        <v>8715.660676003541</v>
      </c>
      <c r="Q413" s="86">
        <f t="shared" si="101"/>
        <v>24813.998630504197</v>
      </c>
      <c r="R413" s="86"/>
      <c r="S413" s="86">
        <f t="shared" si="93"/>
        <v>4801.958713118877</v>
      </c>
      <c r="T413" s="87">
        <f t="shared" si="94"/>
        <v>140868.8024431977</v>
      </c>
      <c r="U413" s="88">
        <f t="shared" si="102"/>
        <v>29615.957343623075</v>
      </c>
      <c r="V413" s="61"/>
    </row>
    <row r="414" spans="1:22" s="60" customFormat="1" ht="19.5" customHeight="1">
      <c r="A414" s="81" t="s">
        <v>10</v>
      </c>
      <c r="B414" s="81" t="s">
        <v>177</v>
      </c>
      <c r="C414" s="81">
        <v>12</v>
      </c>
      <c r="D414" s="81" t="s">
        <v>34</v>
      </c>
      <c r="E414" s="82" t="s">
        <v>68</v>
      </c>
      <c r="F414" s="83" t="s">
        <v>69</v>
      </c>
      <c r="G414" s="83"/>
      <c r="H414" s="84">
        <f t="shared" si="95"/>
        <v>145867.2720197411</v>
      </c>
      <c r="I414" s="85">
        <f t="shared" si="103"/>
        <v>37078.45404900035</v>
      </c>
      <c r="J414" s="85">
        <f t="shared" si="103"/>
        <v>37553.06215912779</v>
      </c>
      <c r="K414" s="85">
        <f t="shared" si="103"/>
        <v>11165.646807520105</v>
      </c>
      <c r="L414" s="85">
        <f t="shared" si="103"/>
        <v>13157.210834228827</v>
      </c>
      <c r="M414" s="86">
        <f t="shared" si="97"/>
        <v>6219.293017344011</v>
      </c>
      <c r="N414" s="86">
        <f t="shared" si="98"/>
        <v>930.470567293342</v>
      </c>
      <c r="O414" s="86">
        <f t="shared" si="99"/>
        <v>106104.13743451441</v>
      </c>
      <c r="P414" s="86">
        <f t="shared" si="100"/>
        <v>9018.851681933726</v>
      </c>
      <c r="Q414" s="86">
        <f t="shared" si="101"/>
        <v>25677.201259152487</v>
      </c>
      <c r="R414" s="89">
        <v>62.52</v>
      </c>
      <c r="S414" s="86">
        <f t="shared" si="93"/>
        <v>5004.561644140459</v>
      </c>
      <c r="T414" s="87">
        <f>O414+P414+Q414+R414+S414</f>
        <v>145867.27201974107</v>
      </c>
      <c r="U414" s="88">
        <f t="shared" si="102"/>
        <v>30744.282903292948</v>
      </c>
      <c r="V414" s="61"/>
    </row>
    <row r="415" spans="1:22" s="60" customFormat="1" ht="19.5" customHeight="1">
      <c r="A415" s="81" t="s">
        <v>10</v>
      </c>
      <c r="B415" s="81" t="s">
        <v>177</v>
      </c>
      <c r="C415" s="81">
        <v>13</v>
      </c>
      <c r="D415" s="81" t="s">
        <v>34</v>
      </c>
      <c r="E415" s="82" t="s">
        <v>70</v>
      </c>
      <c r="F415" s="83" t="s">
        <v>71</v>
      </c>
      <c r="G415" s="83"/>
      <c r="H415" s="84">
        <f t="shared" si="95"/>
        <v>150937.31159628453</v>
      </c>
      <c r="I415" s="85">
        <f t="shared" si="103"/>
        <v>37078.45404900035</v>
      </c>
      <c r="J415" s="85">
        <f t="shared" si="103"/>
        <v>40845.63416922936</v>
      </c>
      <c r="K415" s="85">
        <f t="shared" si="103"/>
        <v>11165.646807520105</v>
      </c>
      <c r="L415" s="85">
        <f t="shared" si="103"/>
        <v>13157.210834228827</v>
      </c>
      <c r="M415" s="86">
        <f t="shared" si="97"/>
        <v>6493.674018185809</v>
      </c>
      <c r="N415" s="86">
        <f t="shared" si="98"/>
        <v>930.470567293342</v>
      </c>
      <c r="O415" s="86">
        <f t="shared" si="99"/>
        <v>109671.09044545778</v>
      </c>
      <c r="P415" s="86">
        <f t="shared" si="100"/>
        <v>9322.042687863912</v>
      </c>
      <c r="Q415" s="86">
        <f t="shared" si="101"/>
        <v>26540.403887800785</v>
      </c>
      <c r="R415" s="89">
        <v>196.61</v>
      </c>
      <c r="S415" s="86">
        <f t="shared" si="93"/>
        <v>5207.164575162043</v>
      </c>
      <c r="T415" s="87">
        <f>O415+P415+Q415+R415+S415</f>
        <v>150937.3115962845</v>
      </c>
      <c r="U415" s="88">
        <f t="shared" si="102"/>
        <v>31944.178462962827</v>
      </c>
      <c r="V415" s="61"/>
    </row>
    <row r="416" spans="1:22" s="60" customFormat="1" ht="19.5" customHeight="1" thickBot="1">
      <c r="A416" s="90" t="s">
        <v>10</v>
      </c>
      <c r="B416" s="90" t="s">
        <v>177</v>
      </c>
      <c r="C416" s="90">
        <v>14</v>
      </c>
      <c r="D416" s="90" t="s">
        <v>34</v>
      </c>
      <c r="E416" s="91" t="s">
        <v>72</v>
      </c>
      <c r="F416" s="92" t="s">
        <v>73</v>
      </c>
      <c r="G416" s="92"/>
      <c r="H416" s="93">
        <f t="shared" si="95"/>
        <v>156007.31253760197</v>
      </c>
      <c r="I416" s="94">
        <f t="shared" si="103"/>
        <v>37078.45404900035</v>
      </c>
      <c r="J416" s="94">
        <f t="shared" si="103"/>
        <v>44138.193748526566</v>
      </c>
      <c r="K416" s="94">
        <f t="shared" si="103"/>
        <v>11165.646807520105</v>
      </c>
      <c r="L416" s="94">
        <f t="shared" si="103"/>
        <v>13157.210834228827</v>
      </c>
      <c r="M416" s="94">
        <f t="shared" si="97"/>
        <v>6768.053983127243</v>
      </c>
      <c r="N416" s="94">
        <f t="shared" si="98"/>
        <v>930.470567293342</v>
      </c>
      <c r="O416" s="94">
        <f t="shared" si="99"/>
        <v>113238.02998969643</v>
      </c>
      <c r="P416" s="94">
        <f t="shared" si="100"/>
        <v>9625.232549124195</v>
      </c>
      <c r="Q416" s="94">
        <f t="shared" si="101"/>
        <v>27403.603257506536</v>
      </c>
      <c r="R416" s="95">
        <v>330.68</v>
      </c>
      <c r="S416" s="94">
        <f t="shared" si="93"/>
        <v>5409.766741274798</v>
      </c>
      <c r="T416" s="96">
        <f>O416+P416+Q416+R416+S416</f>
        <v>156007.31253760195</v>
      </c>
      <c r="U416" s="97">
        <f t="shared" si="102"/>
        <v>33144.04999878134</v>
      </c>
      <c r="V416" s="61"/>
    </row>
    <row r="417" spans="1:22" s="60" customFormat="1" ht="5.25" customHeight="1" thickBot="1" thickTop="1">
      <c r="A417" s="98"/>
      <c r="B417" s="99"/>
      <c r="C417" s="98"/>
      <c r="D417" s="98"/>
      <c r="E417" s="100"/>
      <c r="F417" s="101"/>
      <c r="G417" s="101"/>
      <c r="H417" s="102"/>
      <c r="I417" s="103"/>
      <c r="J417" s="103"/>
      <c r="K417" s="103"/>
      <c r="L417" s="103"/>
      <c r="M417" s="103"/>
      <c r="N417" s="103"/>
      <c r="O417" s="103"/>
      <c r="P417" s="103"/>
      <c r="Q417" s="103"/>
      <c r="R417" s="104"/>
      <c r="S417" s="103"/>
      <c r="T417" s="105"/>
      <c r="U417" s="103"/>
      <c r="V417" s="61"/>
    </row>
    <row r="418" spans="1:22" s="60" customFormat="1" ht="19.5" customHeight="1" thickTop="1">
      <c r="A418" s="106" t="s">
        <v>178</v>
      </c>
      <c r="B418" s="107" t="s">
        <v>74</v>
      </c>
      <c r="C418" s="106">
        <v>0</v>
      </c>
      <c r="D418" s="106" t="s">
        <v>31</v>
      </c>
      <c r="E418" s="108" t="s">
        <v>75</v>
      </c>
      <c r="F418" s="109" t="s">
        <v>76</v>
      </c>
      <c r="G418" s="109"/>
      <c r="H418" s="110">
        <f t="shared" si="95"/>
        <v>41857.66685129011</v>
      </c>
      <c r="I418" s="88">
        <f aca="true" t="shared" si="104" ref="I418:L433">I337*1.0309</f>
        <v>17733.25096278374</v>
      </c>
      <c r="J418" s="88">
        <f t="shared" si="104"/>
        <v>0</v>
      </c>
      <c r="K418" s="88">
        <f t="shared" si="104"/>
        <v>9834.49412357569</v>
      </c>
      <c r="L418" s="88">
        <f t="shared" si="104"/>
        <v>0</v>
      </c>
      <c r="M418" s="111">
        <f t="shared" si="97"/>
        <v>1477.7709135653115</v>
      </c>
      <c r="N418" s="111">
        <f t="shared" si="98"/>
        <v>819.5411769646408</v>
      </c>
      <c r="O418" s="111">
        <f t="shared" si="99"/>
        <v>29865.057176889382</v>
      </c>
      <c r="P418" s="111">
        <f t="shared" si="100"/>
        <v>2538.5298600355977</v>
      </c>
      <c r="Q418" s="111">
        <f t="shared" si="101"/>
        <v>7227.34383680723</v>
      </c>
      <c r="R418" s="111">
        <f>(I418+J418)*18%*24.2%</f>
        <v>772.4604119388596</v>
      </c>
      <c r="S418" s="111">
        <f t="shared" si="93"/>
        <v>1454.2755656190407</v>
      </c>
      <c r="T418" s="112">
        <f>O418+P418+Q418+R418+S418</f>
        <v>41857.66685129011</v>
      </c>
      <c r="U418" s="88">
        <f t="shared" si="102"/>
        <v>9454.07981436513</v>
      </c>
      <c r="V418" s="61"/>
    </row>
    <row r="419" spans="1:22" s="60" customFormat="1" ht="19.5" customHeight="1">
      <c r="A419" s="81" t="s">
        <v>178</v>
      </c>
      <c r="B419" s="113" t="s">
        <v>74</v>
      </c>
      <c r="C419" s="81">
        <v>0</v>
      </c>
      <c r="D419" s="81" t="s">
        <v>34</v>
      </c>
      <c r="E419" s="82" t="s">
        <v>77</v>
      </c>
      <c r="F419" s="83" t="s">
        <v>78</v>
      </c>
      <c r="G419" s="83"/>
      <c r="H419" s="84">
        <f t="shared" si="95"/>
        <v>58968.74406247794</v>
      </c>
      <c r="I419" s="85">
        <f t="shared" si="104"/>
        <v>24324.946016879927</v>
      </c>
      <c r="J419" s="85">
        <f t="shared" si="104"/>
        <v>0</v>
      </c>
      <c r="K419" s="85">
        <f t="shared" si="104"/>
        <v>10288.056881936618</v>
      </c>
      <c r="L419" s="85">
        <f t="shared" si="104"/>
        <v>5526.027058679586</v>
      </c>
      <c r="M419" s="86">
        <f t="shared" si="97"/>
        <v>2027.078834739994</v>
      </c>
      <c r="N419" s="86">
        <f t="shared" si="98"/>
        <v>857.3380734947182</v>
      </c>
      <c r="O419" s="86">
        <f t="shared" si="99"/>
        <v>43023.446865730846</v>
      </c>
      <c r="P419" s="86">
        <f t="shared" si="100"/>
        <v>3656.9929835871217</v>
      </c>
      <c r="Q419" s="86">
        <f t="shared" si="101"/>
        <v>10411.674141506865</v>
      </c>
      <c r="R419" s="86"/>
      <c r="S419" s="86">
        <f t="shared" si="93"/>
        <v>1876.6300716531114</v>
      </c>
      <c r="T419" s="87">
        <f aca="true" t="shared" si="105" ref="T419:T461">O419+P419+Q419+R419+S419</f>
        <v>58968.74406247794</v>
      </c>
      <c r="U419" s="85">
        <f t="shared" si="102"/>
        <v>12288.304213159976</v>
      </c>
      <c r="V419" s="61"/>
    </row>
    <row r="420" spans="1:22" s="60" customFormat="1" ht="19.5" customHeight="1">
      <c r="A420" s="106" t="s">
        <v>178</v>
      </c>
      <c r="B420" s="113" t="s">
        <v>79</v>
      </c>
      <c r="C420" s="81">
        <v>0</v>
      </c>
      <c r="D420" s="81" t="s">
        <v>31</v>
      </c>
      <c r="E420" s="82" t="s">
        <v>80</v>
      </c>
      <c r="F420" s="83"/>
      <c r="G420" s="83"/>
      <c r="H420" s="84">
        <f t="shared" si="95"/>
        <v>44213.68752213326</v>
      </c>
      <c r="I420" s="85">
        <f t="shared" si="104"/>
        <v>19166.22436516854</v>
      </c>
      <c r="J420" s="85">
        <f t="shared" si="104"/>
        <v>0</v>
      </c>
      <c r="K420" s="85">
        <f t="shared" si="104"/>
        <v>9933.107694493474</v>
      </c>
      <c r="L420" s="85">
        <f t="shared" si="104"/>
        <v>0</v>
      </c>
      <c r="M420" s="86">
        <f t="shared" si="97"/>
        <v>1597.185363764045</v>
      </c>
      <c r="N420" s="86">
        <f t="shared" si="98"/>
        <v>827.7589745411228</v>
      </c>
      <c r="O420" s="86">
        <f t="shared" si="99"/>
        <v>31524.27639796718</v>
      </c>
      <c r="P420" s="86">
        <f t="shared" si="100"/>
        <v>2679.56349382721</v>
      </c>
      <c r="Q420" s="86">
        <f t="shared" si="101"/>
        <v>7628.874888308058</v>
      </c>
      <c r="R420" s="86">
        <f>(I420+J420)*18%*24.2%</f>
        <v>834.8807333467415</v>
      </c>
      <c r="S420" s="86">
        <f t="shared" si="93"/>
        <v>1546.0920086840697</v>
      </c>
      <c r="T420" s="87">
        <f t="shared" si="105"/>
        <v>44213.68752213326</v>
      </c>
      <c r="U420" s="85">
        <f t="shared" si="102"/>
        <v>10009.84763033887</v>
      </c>
      <c r="V420" s="61"/>
    </row>
    <row r="421" spans="1:22" s="60" customFormat="1" ht="19.5" customHeight="1">
      <c r="A421" s="81" t="s">
        <v>178</v>
      </c>
      <c r="B421" s="113" t="s">
        <v>79</v>
      </c>
      <c r="C421" s="81">
        <v>0</v>
      </c>
      <c r="D421" s="81" t="s">
        <v>34</v>
      </c>
      <c r="E421" s="82" t="s">
        <v>81</v>
      </c>
      <c r="F421" s="83" t="s">
        <v>82</v>
      </c>
      <c r="G421" s="83"/>
      <c r="H421" s="84">
        <f t="shared" si="95"/>
        <v>62179.77373770799</v>
      </c>
      <c r="I421" s="85">
        <f t="shared" si="104"/>
        <v>26331.116238701266</v>
      </c>
      <c r="J421" s="85">
        <f t="shared" si="104"/>
        <v>0</v>
      </c>
      <c r="K421" s="85">
        <f t="shared" si="104"/>
        <v>10426.100964256297</v>
      </c>
      <c r="L421" s="85">
        <f t="shared" si="104"/>
        <v>5526.027058679586</v>
      </c>
      <c r="M421" s="86">
        <f t="shared" si="97"/>
        <v>2194.2596865584387</v>
      </c>
      <c r="N421" s="86">
        <f t="shared" si="98"/>
        <v>868.8417470213581</v>
      </c>
      <c r="O421" s="86">
        <f t="shared" si="99"/>
        <v>45346.34569521695</v>
      </c>
      <c r="P421" s="86">
        <f t="shared" si="100"/>
        <v>3854.439384093441</v>
      </c>
      <c r="Q421" s="86">
        <f t="shared" si="101"/>
        <v>10973.815658242502</v>
      </c>
      <c r="R421" s="86"/>
      <c r="S421" s="86">
        <f t="shared" si="93"/>
        <v>2005.1730001550936</v>
      </c>
      <c r="T421" s="87">
        <f t="shared" si="105"/>
        <v>62179.77373770799</v>
      </c>
      <c r="U421" s="85">
        <f t="shared" si="102"/>
        <v>12978.988658397595</v>
      </c>
      <c r="V421" s="61"/>
    </row>
    <row r="422" spans="1:22" s="60" customFormat="1" ht="19.5" customHeight="1">
      <c r="A422" s="106" t="s">
        <v>178</v>
      </c>
      <c r="B422" s="113" t="s">
        <v>79</v>
      </c>
      <c r="C422" s="81">
        <v>1</v>
      </c>
      <c r="D422" s="81" t="s">
        <v>31</v>
      </c>
      <c r="E422" s="82" t="s">
        <v>83</v>
      </c>
      <c r="F422" s="83"/>
      <c r="G422" s="83"/>
      <c r="H422" s="84">
        <f t="shared" si="95"/>
        <v>46579.07739504901</v>
      </c>
      <c r="I422" s="85">
        <f t="shared" si="104"/>
        <v>19166.22436516854</v>
      </c>
      <c r="J422" s="85">
        <f t="shared" si="104"/>
        <v>1533.3024243030497</v>
      </c>
      <c r="K422" s="85">
        <f t="shared" si="104"/>
        <v>9933.107694493474</v>
      </c>
      <c r="L422" s="85">
        <f t="shared" si="104"/>
        <v>0</v>
      </c>
      <c r="M422" s="86">
        <f t="shared" si="97"/>
        <v>1724.960565789299</v>
      </c>
      <c r="N422" s="86">
        <f t="shared" si="98"/>
        <v>827.7589745411228</v>
      </c>
      <c r="O422" s="86">
        <f t="shared" si="99"/>
        <v>33185.354024295484</v>
      </c>
      <c r="P422" s="86">
        <f t="shared" si="100"/>
        <v>2820.755092065116</v>
      </c>
      <c r="Q422" s="86">
        <f t="shared" si="101"/>
        <v>8030.855673879507</v>
      </c>
      <c r="R422" s="86">
        <f>(I422+J422)*18%*24.2%</f>
        <v>901.6713869493823</v>
      </c>
      <c r="S422" s="86">
        <f t="shared" si="93"/>
        <v>1640.441217859517</v>
      </c>
      <c r="T422" s="87">
        <f t="shared" si="105"/>
        <v>46579.07739504901</v>
      </c>
      <c r="U422" s="85">
        <f t="shared" si="102"/>
        <v>10572.968278688406</v>
      </c>
      <c r="V422" s="61"/>
    </row>
    <row r="423" spans="1:22" s="58" customFormat="1" ht="19.5" customHeight="1">
      <c r="A423" s="81" t="s">
        <v>178</v>
      </c>
      <c r="B423" s="114" t="s">
        <v>79</v>
      </c>
      <c r="C423" s="115">
        <v>1</v>
      </c>
      <c r="D423" s="115" t="s">
        <v>34</v>
      </c>
      <c r="E423" s="116" t="s">
        <v>84</v>
      </c>
      <c r="F423" s="117"/>
      <c r="G423" s="117"/>
      <c r="H423" s="84">
        <f t="shared" si="95"/>
        <v>66559.8244594094</v>
      </c>
      <c r="I423" s="86">
        <f t="shared" si="104"/>
        <v>26331.116238701266</v>
      </c>
      <c r="J423" s="86">
        <f t="shared" si="104"/>
        <v>2106.486812935231</v>
      </c>
      <c r="K423" s="86">
        <f t="shared" si="104"/>
        <v>10426.100964256297</v>
      </c>
      <c r="L423" s="86">
        <f t="shared" si="104"/>
        <v>6447.03778386169</v>
      </c>
      <c r="M423" s="86">
        <f t="shared" si="97"/>
        <v>2369.8002543030416</v>
      </c>
      <c r="N423" s="86">
        <f t="shared" si="98"/>
        <v>868.8417470213581</v>
      </c>
      <c r="O423" s="86">
        <f t="shared" si="99"/>
        <v>48549.38380107889</v>
      </c>
      <c r="P423" s="86">
        <f t="shared" si="100"/>
        <v>4126.697623091705</v>
      </c>
      <c r="Q423" s="86">
        <f t="shared" si="101"/>
        <v>11748.950879861091</v>
      </c>
      <c r="R423" s="86"/>
      <c r="S423" s="86">
        <f t="shared" si="93"/>
        <v>2134.7921553777082</v>
      </c>
      <c r="T423" s="87">
        <f t="shared" si="105"/>
        <v>66559.8244594094</v>
      </c>
      <c r="U423" s="86">
        <f t="shared" si="102"/>
        <v>13883.7430352388</v>
      </c>
      <c r="V423" s="118"/>
    </row>
    <row r="424" spans="1:22" s="60" customFormat="1" ht="19.5" customHeight="1">
      <c r="A424" s="106" t="s">
        <v>178</v>
      </c>
      <c r="B424" s="113" t="s">
        <v>79</v>
      </c>
      <c r="C424" s="81">
        <v>2</v>
      </c>
      <c r="D424" s="81" t="s">
        <v>31</v>
      </c>
      <c r="E424" s="82" t="s">
        <v>85</v>
      </c>
      <c r="F424" s="83"/>
      <c r="G424" s="83"/>
      <c r="H424" s="84">
        <f t="shared" si="95"/>
        <v>48944.46726796477</v>
      </c>
      <c r="I424" s="85">
        <f t="shared" si="104"/>
        <v>19166.22436516854</v>
      </c>
      <c r="J424" s="85">
        <f t="shared" si="104"/>
        <v>3066.6048486060995</v>
      </c>
      <c r="K424" s="85">
        <f t="shared" si="104"/>
        <v>9933.107694493474</v>
      </c>
      <c r="L424" s="85">
        <f t="shared" si="104"/>
        <v>0</v>
      </c>
      <c r="M424" s="86">
        <f t="shared" si="97"/>
        <v>1852.7357678145534</v>
      </c>
      <c r="N424" s="86">
        <f t="shared" si="98"/>
        <v>827.7589745411228</v>
      </c>
      <c r="O424" s="86">
        <f t="shared" si="99"/>
        <v>34846.431650623796</v>
      </c>
      <c r="P424" s="86">
        <f t="shared" si="100"/>
        <v>2961.9466903030225</v>
      </c>
      <c r="Q424" s="86">
        <f t="shared" si="101"/>
        <v>8432.836459450959</v>
      </c>
      <c r="R424" s="86">
        <f>(I424+J424)*18%*24.2%</f>
        <v>968.4620405520232</v>
      </c>
      <c r="S424" s="86">
        <f t="shared" si="93"/>
        <v>1734.790427034965</v>
      </c>
      <c r="T424" s="87">
        <f t="shared" si="105"/>
        <v>48944.46726796478</v>
      </c>
      <c r="U424" s="85">
        <f t="shared" si="102"/>
        <v>11136.088927037947</v>
      </c>
      <c r="V424" s="61"/>
    </row>
    <row r="425" spans="1:22" s="60" customFormat="1" ht="19.5" customHeight="1">
      <c r="A425" s="81" t="s">
        <v>178</v>
      </c>
      <c r="B425" s="113" t="s">
        <v>79</v>
      </c>
      <c r="C425" s="81">
        <v>2</v>
      </c>
      <c r="D425" s="81" t="s">
        <v>34</v>
      </c>
      <c r="E425" s="82" t="s">
        <v>86</v>
      </c>
      <c r="F425" s="83" t="s">
        <v>87</v>
      </c>
      <c r="G425" s="83"/>
      <c r="H425" s="84">
        <f t="shared" si="95"/>
        <v>69717.69394879414</v>
      </c>
      <c r="I425" s="85">
        <f t="shared" si="104"/>
        <v>26331.116238701266</v>
      </c>
      <c r="J425" s="85">
        <f t="shared" si="104"/>
        <v>4212.973625870462</v>
      </c>
      <c r="K425" s="85">
        <f t="shared" si="104"/>
        <v>10426.100964256297</v>
      </c>
      <c r="L425" s="85">
        <f t="shared" si="104"/>
        <v>6447.03778386169</v>
      </c>
      <c r="M425" s="86">
        <f t="shared" si="97"/>
        <v>2545.340822047644</v>
      </c>
      <c r="N425" s="86">
        <f t="shared" si="98"/>
        <v>868.8417470213581</v>
      </c>
      <c r="O425" s="86">
        <f t="shared" si="99"/>
        <v>50831.41118175872</v>
      </c>
      <c r="P425" s="86">
        <f t="shared" si="100"/>
        <v>4320.669950449491</v>
      </c>
      <c r="Q425" s="86">
        <f t="shared" si="101"/>
        <v>12301.20150598561</v>
      </c>
      <c r="R425" s="86"/>
      <c r="S425" s="86">
        <f t="shared" si="93"/>
        <v>2264.411310600323</v>
      </c>
      <c r="T425" s="87">
        <f t="shared" si="105"/>
        <v>69717.69394879414</v>
      </c>
      <c r="U425" s="85">
        <f t="shared" si="102"/>
        <v>14565.612816585932</v>
      </c>
      <c r="V425" s="61"/>
    </row>
    <row r="426" spans="1:22" s="60" customFormat="1" ht="19.5" customHeight="1">
      <c r="A426" s="106" t="s">
        <v>178</v>
      </c>
      <c r="B426" s="113" t="s">
        <v>79</v>
      </c>
      <c r="C426" s="81">
        <v>3</v>
      </c>
      <c r="D426" s="81" t="s">
        <v>31</v>
      </c>
      <c r="E426" s="82" t="s">
        <v>88</v>
      </c>
      <c r="F426" s="83" t="s">
        <v>89</v>
      </c>
      <c r="G426" s="83"/>
      <c r="H426" s="84">
        <f t="shared" si="95"/>
        <v>51309.8571408805</v>
      </c>
      <c r="I426" s="85">
        <f t="shared" si="104"/>
        <v>19166.22436516854</v>
      </c>
      <c r="J426" s="85">
        <f t="shared" si="104"/>
        <v>4599.9072729091495</v>
      </c>
      <c r="K426" s="85">
        <f t="shared" si="104"/>
        <v>9933.107694493474</v>
      </c>
      <c r="L426" s="85">
        <f t="shared" si="104"/>
        <v>0</v>
      </c>
      <c r="M426" s="86">
        <f t="shared" si="97"/>
        <v>1980.5109698398073</v>
      </c>
      <c r="N426" s="86">
        <f t="shared" si="98"/>
        <v>827.7589745411228</v>
      </c>
      <c r="O426" s="86">
        <f t="shared" si="99"/>
        <v>36507.50927695209</v>
      </c>
      <c r="P426" s="86">
        <f t="shared" si="100"/>
        <v>3103.138288540928</v>
      </c>
      <c r="Q426" s="86">
        <f t="shared" si="101"/>
        <v>8834.817245022406</v>
      </c>
      <c r="R426" s="86">
        <f>(I426+J426)*18%*24.2%</f>
        <v>1035.252694154664</v>
      </c>
      <c r="S426" s="86">
        <f t="shared" si="93"/>
        <v>1829.1396362104128</v>
      </c>
      <c r="T426" s="87">
        <f t="shared" si="105"/>
        <v>51309.8571408805</v>
      </c>
      <c r="U426" s="85">
        <f t="shared" si="102"/>
        <v>11699.209575387484</v>
      </c>
      <c r="V426" s="61"/>
    </row>
    <row r="427" spans="1:22" s="60" customFormat="1" ht="19.5" customHeight="1">
      <c r="A427" s="81" t="s">
        <v>178</v>
      </c>
      <c r="B427" s="113" t="s">
        <v>79</v>
      </c>
      <c r="C427" s="81">
        <v>3</v>
      </c>
      <c r="D427" s="81" t="s">
        <v>34</v>
      </c>
      <c r="E427" s="82" t="s">
        <v>90</v>
      </c>
      <c r="F427" s="83" t="s">
        <v>91</v>
      </c>
      <c r="G427" s="83"/>
      <c r="H427" s="84">
        <f t="shared" si="95"/>
        <v>74097.72817481817</v>
      </c>
      <c r="I427" s="85">
        <f t="shared" si="104"/>
        <v>26331.116238701266</v>
      </c>
      <c r="J427" s="85">
        <f t="shared" si="104"/>
        <v>6319.460438805691</v>
      </c>
      <c r="K427" s="85">
        <f t="shared" si="104"/>
        <v>10426.100964256297</v>
      </c>
      <c r="L427" s="85">
        <f t="shared" si="104"/>
        <v>7368.036078239446</v>
      </c>
      <c r="M427" s="86">
        <f t="shared" si="97"/>
        <v>2720.8813897922464</v>
      </c>
      <c r="N427" s="86">
        <f t="shared" si="98"/>
        <v>868.8417470213581</v>
      </c>
      <c r="O427" s="86">
        <f t="shared" si="99"/>
        <v>54034.436856816304</v>
      </c>
      <c r="P427" s="86">
        <f t="shared" si="100"/>
        <v>4592.927132829386</v>
      </c>
      <c r="Q427" s="86">
        <f t="shared" si="101"/>
        <v>13076.333719349546</v>
      </c>
      <c r="R427" s="86"/>
      <c r="S427" s="86">
        <f t="shared" si="93"/>
        <v>2394.030465822937</v>
      </c>
      <c r="T427" s="87">
        <f t="shared" si="105"/>
        <v>74097.72817481817</v>
      </c>
      <c r="U427" s="85">
        <f t="shared" si="102"/>
        <v>15470.364185172482</v>
      </c>
      <c r="V427" s="61"/>
    </row>
    <row r="428" spans="1:22" s="60" customFormat="1" ht="19.5" customHeight="1">
      <c r="A428" s="106" t="s">
        <v>178</v>
      </c>
      <c r="B428" s="113" t="s">
        <v>79</v>
      </c>
      <c r="C428" s="81">
        <v>4</v>
      </c>
      <c r="D428" s="81" t="s">
        <v>31</v>
      </c>
      <c r="E428" s="82" t="s">
        <v>92</v>
      </c>
      <c r="F428" s="83"/>
      <c r="G428" s="83"/>
      <c r="H428" s="84">
        <f t="shared" si="95"/>
        <v>53675.24701379625</v>
      </c>
      <c r="I428" s="85">
        <f t="shared" si="104"/>
        <v>19166.22436516854</v>
      </c>
      <c r="J428" s="85">
        <f t="shared" si="104"/>
        <v>6133.209697212199</v>
      </c>
      <c r="K428" s="85">
        <f t="shared" si="104"/>
        <v>9933.107694493474</v>
      </c>
      <c r="L428" s="85">
        <f t="shared" si="104"/>
        <v>0</v>
      </c>
      <c r="M428" s="86">
        <f t="shared" si="97"/>
        <v>2108.2861718650615</v>
      </c>
      <c r="N428" s="86">
        <f t="shared" si="98"/>
        <v>827.7589745411228</v>
      </c>
      <c r="O428" s="86">
        <f t="shared" si="99"/>
        <v>38168.5869032804</v>
      </c>
      <c r="P428" s="86">
        <f t="shared" si="100"/>
        <v>3244.3298867788335</v>
      </c>
      <c r="Q428" s="86">
        <f t="shared" si="101"/>
        <v>9236.798030593856</v>
      </c>
      <c r="R428" s="86">
        <f>(I428+J428)*18%*24.2%</f>
        <v>1102.0433477573047</v>
      </c>
      <c r="S428" s="86">
        <f t="shared" si="93"/>
        <v>1923.4888453858603</v>
      </c>
      <c r="T428" s="87">
        <f t="shared" si="105"/>
        <v>53675.247013796245</v>
      </c>
      <c r="U428" s="85">
        <f t="shared" si="102"/>
        <v>12262.33022373702</v>
      </c>
      <c r="V428" s="61"/>
    </row>
    <row r="429" spans="1:22" s="60" customFormat="1" ht="19.5" customHeight="1">
      <c r="A429" s="81" t="s">
        <v>178</v>
      </c>
      <c r="B429" s="113" t="s">
        <v>79</v>
      </c>
      <c r="C429" s="81">
        <v>4</v>
      </c>
      <c r="D429" s="81" t="s">
        <v>34</v>
      </c>
      <c r="E429" s="82" t="s">
        <v>93</v>
      </c>
      <c r="F429" s="83" t="s">
        <v>94</v>
      </c>
      <c r="G429" s="83"/>
      <c r="H429" s="84">
        <f t="shared" si="95"/>
        <v>77255.59766420294</v>
      </c>
      <c r="I429" s="85">
        <f t="shared" si="104"/>
        <v>26331.116238701266</v>
      </c>
      <c r="J429" s="85">
        <f t="shared" si="104"/>
        <v>8425.947251740923</v>
      </c>
      <c r="K429" s="85">
        <f t="shared" si="104"/>
        <v>10426.100964256297</v>
      </c>
      <c r="L429" s="85">
        <f t="shared" si="104"/>
        <v>7368.036078239446</v>
      </c>
      <c r="M429" s="86">
        <f t="shared" si="97"/>
        <v>2896.4219575368493</v>
      </c>
      <c r="N429" s="86">
        <f t="shared" si="98"/>
        <v>868.8417470213581</v>
      </c>
      <c r="O429" s="86">
        <f t="shared" si="99"/>
        <v>56316.46423749615</v>
      </c>
      <c r="P429" s="86">
        <f t="shared" si="100"/>
        <v>4786.899460187173</v>
      </c>
      <c r="Q429" s="86">
        <f t="shared" si="101"/>
        <v>13628.584345474066</v>
      </c>
      <c r="R429" s="86"/>
      <c r="S429" s="86">
        <f t="shared" si="93"/>
        <v>2523.6496210455516</v>
      </c>
      <c r="T429" s="87">
        <f t="shared" si="105"/>
        <v>77255.59766420294</v>
      </c>
      <c r="U429" s="85">
        <f t="shared" si="102"/>
        <v>16152.233966519618</v>
      </c>
      <c r="V429" s="61"/>
    </row>
    <row r="430" spans="1:22" s="60" customFormat="1" ht="19.5" customHeight="1">
      <c r="A430" s="106" t="s">
        <v>178</v>
      </c>
      <c r="B430" s="113" t="s">
        <v>79</v>
      </c>
      <c r="C430" s="81">
        <v>5</v>
      </c>
      <c r="D430" s="81" t="s">
        <v>31</v>
      </c>
      <c r="E430" s="82" t="s">
        <v>95</v>
      </c>
      <c r="F430" s="83"/>
      <c r="G430" s="83"/>
      <c r="H430" s="84">
        <f t="shared" si="95"/>
        <v>56040.63688671201</v>
      </c>
      <c r="I430" s="85">
        <f t="shared" si="104"/>
        <v>19166.22436516854</v>
      </c>
      <c r="J430" s="85">
        <f t="shared" si="104"/>
        <v>7666.512121515249</v>
      </c>
      <c r="K430" s="85">
        <f t="shared" si="104"/>
        <v>9933.107694493474</v>
      </c>
      <c r="L430" s="85">
        <f t="shared" si="104"/>
        <v>0</v>
      </c>
      <c r="M430" s="86">
        <f t="shared" si="97"/>
        <v>2236.0613738903157</v>
      </c>
      <c r="N430" s="86">
        <f t="shared" si="98"/>
        <v>827.7589745411228</v>
      </c>
      <c r="O430" s="86">
        <f t="shared" si="99"/>
        <v>39829.66452960871</v>
      </c>
      <c r="P430" s="86">
        <f t="shared" si="100"/>
        <v>3385.52148501674</v>
      </c>
      <c r="Q430" s="86">
        <f t="shared" si="101"/>
        <v>9638.778816165308</v>
      </c>
      <c r="R430" s="86">
        <f>(I430+J430)*18%*24.2%</f>
        <v>1168.834001359946</v>
      </c>
      <c r="S430" s="86">
        <f t="shared" si="93"/>
        <v>2017.8380545613081</v>
      </c>
      <c r="T430" s="87">
        <f t="shared" si="105"/>
        <v>56040.63688671201</v>
      </c>
      <c r="U430" s="85">
        <f t="shared" si="102"/>
        <v>12825.450872086563</v>
      </c>
      <c r="V430" s="61"/>
    </row>
    <row r="431" spans="1:22" s="60" customFormat="1" ht="19.5" customHeight="1">
      <c r="A431" s="81" t="s">
        <v>178</v>
      </c>
      <c r="B431" s="113" t="s">
        <v>79</v>
      </c>
      <c r="C431" s="81">
        <v>5</v>
      </c>
      <c r="D431" s="81" t="s">
        <v>34</v>
      </c>
      <c r="E431" s="82" t="s">
        <v>96</v>
      </c>
      <c r="F431" s="83" t="s">
        <v>97</v>
      </c>
      <c r="G431" s="83"/>
      <c r="H431" s="84">
        <f t="shared" si="95"/>
        <v>81635.64838590434</v>
      </c>
      <c r="I431" s="85">
        <f t="shared" si="104"/>
        <v>26331.116238701266</v>
      </c>
      <c r="J431" s="85">
        <f t="shared" si="104"/>
        <v>10532.434064676158</v>
      </c>
      <c r="K431" s="85">
        <f t="shared" si="104"/>
        <v>10426.100964256297</v>
      </c>
      <c r="L431" s="85">
        <f t="shared" si="104"/>
        <v>8289.04680342155</v>
      </c>
      <c r="M431" s="86">
        <f t="shared" si="97"/>
        <v>3071.9625252814517</v>
      </c>
      <c r="N431" s="86">
        <f t="shared" si="98"/>
        <v>868.8417470213581</v>
      </c>
      <c r="O431" s="86">
        <f t="shared" si="99"/>
        <v>59519.50234335808</v>
      </c>
      <c r="P431" s="86">
        <f t="shared" si="100"/>
        <v>5059.157699185437</v>
      </c>
      <c r="Q431" s="86">
        <f t="shared" si="101"/>
        <v>14403.719567092654</v>
      </c>
      <c r="R431" s="86"/>
      <c r="S431" s="86">
        <f t="shared" si="93"/>
        <v>2653.268776268166</v>
      </c>
      <c r="T431" s="87">
        <f t="shared" si="105"/>
        <v>81635.64838590434</v>
      </c>
      <c r="U431" s="85">
        <f t="shared" si="102"/>
        <v>17056.98834336082</v>
      </c>
      <c r="V431" s="61"/>
    </row>
    <row r="432" spans="1:22" s="60" customFormat="1" ht="19.5" customHeight="1">
      <c r="A432" s="106" t="s">
        <v>178</v>
      </c>
      <c r="B432" s="113" t="s">
        <v>79</v>
      </c>
      <c r="C432" s="81">
        <v>6</v>
      </c>
      <c r="D432" s="81" t="s">
        <v>31</v>
      </c>
      <c r="E432" s="82" t="s">
        <v>98</v>
      </c>
      <c r="F432" s="83" t="s">
        <v>99</v>
      </c>
      <c r="G432" s="83"/>
      <c r="H432" s="84">
        <f t="shared" si="95"/>
        <v>58406.02675962775</v>
      </c>
      <c r="I432" s="85">
        <f t="shared" si="104"/>
        <v>19166.22436516854</v>
      </c>
      <c r="J432" s="85">
        <f t="shared" si="104"/>
        <v>9199.814545818299</v>
      </c>
      <c r="K432" s="85">
        <f t="shared" si="104"/>
        <v>9933.107694493474</v>
      </c>
      <c r="L432" s="85">
        <f t="shared" si="104"/>
        <v>0</v>
      </c>
      <c r="M432" s="86">
        <f t="shared" si="97"/>
        <v>2363.83657591557</v>
      </c>
      <c r="N432" s="86">
        <f t="shared" si="98"/>
        <v>827.7589745411228</v>
      </c>
      <c r="O432" s="86">
        <f t="shared" si="99"/>
        <v>41490.742155937005</v>
      </c>
      <c r="P432" s="86">
        <f t="shared" si="100"/>
        <v>3526.7130832546454</v>
      </c>
      <c r="Q432" s="86">
        <f t="shared" si="101"/>
        <v>10040.759601736754</v>
      </c>
      <c r="R432" s="86">
        <f>(I432+J432)*18%*24.2%</f>
        <v>1235.6246549625864</v>
      </c>
      <c r="S432" s="86">
        <f t="shared" si="93"/>
        <v>2112.1872637367555</v>
      </c>
      <c r="T432" s="87">
        <f t="shared" si="105"/>
        <v>58406.02675962775</v>
      </c>
      <c r="U432" s="85">
        <f t="shared" si="102"/>
        <v>13388.571520436097</v>
      </c>
      <c r="V432" s="61"/>
    </row>
    <row r="433" spans="1:22" s="60" customFormat="1" ht="19.5" customHeight="1">
      <c r="A433" s="81" t="s">
        <v>178</v>
      </c>
      <c r="B433" s="114" t="s">
        <v>79</v>
      </c>
      <c r="C433" s="115">
        <v>6</v>
      </c>
      <c r="D433" s="115" t="s">
        <v>34</v>
      </c>
      <c r="E433" s="116" t="s">
        <v>100</v>
      </c>
      <c r="F433" s="117" t="s">
        <v>101</v>
      </c>
      <c r="G433" s="117"/>
      <c r="H433" s="84">
        <f t="shared" si="95"/>
        <v>86015.68261192837</v>
      </c>
      <c r="I433" s="85">
        <f t="shared" si="104"/>
        <v>26331.116238701266</v>
      </c>
      <c r="J433" s="85">
        <f t="shared" si="104"/>
        <v>12638.920877611383</v>
      </c>
      <c r="K433" s="85">
        <f t="shared" si="104"/>
        <v>10426.100964256297</v>
      </c>
      <c r="L433" s="85">
        <f t="shared" si="104"/>
        <v>9210.045097799308</v>
      </c>
      <c r="M433" s="86">
        <f t="shared" si="97"/>
        <v>3247.503093026054</v>
      </c>
      <c r="N433" s="86">
        <f t="shared" si="98"/>
        <v>868.8417470213581</v>
      </c>
      <c r="O433" s="86">
        <f t="shared" si="99"/>
        <v>62722.528018415665</v>
      </c>
      <c r="P433" s="86">
        <f t="shared" si="100"/>
        <v>5331.414881565331</v>
      </c>
      <c r="Q433" s="86">
        <f t="shared" si="101"/>
        <v>15178.85178045659</v>
      </c>
      <c r="R433" s="86"/>
      <c r="S433" s="86">
        <f t="shared" si="93"/>
        <v>2782.8879314907804</v>
      </c>
      <c r="T433" s="87">
        <f t="shared" si="105"/>
        <v>86015.68261192837</v>
      </c>
      <c r="U433" s="85">
        <f t="shared" si="102"/>
        <v>17961.73971194737</v>
      </c>
      <c r="V433" s="61"/>
    </row>
    <row r="434" spans="1:22" s="60" customFormat="1" ht="19.5" customHeight="1">
      <c r="A434" s="106" t="s">
        <v>178</v>
      </c>
      <c r="B434" s="113" t="s">
        <v>79</v>
      </c>
      <c r="C434" s="81">
        <v>7</v>
      </c>
      <c r="D434" s="81" t="s">
        <v>34</v>
      </c>
      <c r="E434" s="82" t="s">
        <v>102</v>
      </c>
      <c r="F434" s="83" t="s">
        <v>103</v>
      </c>
      <c r="G434" s="83"/>
      <c r="H434" s="84">
        <f t="shared" si="95"/>
        <v>89520.94998408642</v>
      </c>
      <c r="I434" s="85">
        <f aca="true" t="shared" si="106" ref="I434:L441">I353*1.0309</f>
        <v>26331.116238701266</v>
      </c>
      <c r="J434" s="85">
        <f t="shared" si="106"/>
        <v>14977.142745261019</v>
      </c>
      <c r="K434" s="85">
        <f t="shared" si="106"/>
        <v>10426.100964256297</v>
      </c>
      <c r="L434" s="85">
        <f t="shared" si="106"/>
        <v>9210.045097799308</v>
      </c>
      <c r="M434" s="86">
        <f t="shared" si="97"/>
        <v>3442.35491533019</v>
      </c>
      <c r="N434" s="86">
        <f t="shared" si="98"/>
        <v>868.8417470213581</v>
      </c>
      <c r="O434" s="86">
        <f t="shared" si="99"/>
        <v>65255.601708369446</v>
      </c>
      <c r="P434" s="86">
        <f t="shared" si="100"/>
        <v>5546.726145211403</v>
      </c>
      <c r="Q434" s="86">
        <f t="shared" si="101"/>
        <v>15791.855613425407</v>
      </c>
      <c r="R434" s="86"/>
      <c r="S434" s="86">
        <f t="shared" si="93"/>
        <v>2926.7665170801542</v>
      </c>
      <c r="T434" s="87">
        <f t="shared" si="105"/>
        <v>89520.9499840864</v>
      </c>
      <c r="U434" s="85">
        <f t="shared" si="102"/>
        <v>18718.622130505562</v>
      </c>
      <c r="V434" s="61"/>
    </row>
    <row r="435" spans="1:22" s="60" customFormat="1" ht="19.5" customHeight="1">
      <c r="A435" s="81" t="s">
        <v>178</v>
      </c>
      <c r="B435" s="113" t="s">
        <v>79</v>
      </c>
      <c r="C435" s="81">
        <v>8</v>
      </c>
      <c r="D435" s="81" t="s">
        <v>34</v>
      </c>
      <c r="E435" s="82" t="s">
        <v>104</v>
      </c>
      <c r="F435" s="83" t="s">
        <v>105</v>
      </c>
      <c r="G435" s="83"/>
      <c r="H435" s="84">
        <f t="shared" si="95"/>
        <v>93026.18008579247</v>
      </c>
      <c r="I435" s="85">
        <f t="shared" si="106"/>
        <v>26331.116238701266</v>
      </c>
      <c r="J435" s="85">
        <f t="shared" si="106"/>
        <v>17315.33975130195</v>
      </c>
      <c r="K435" s="85">
        <f t="shared" si="106"/>
        <v>10426.100964256297</v>
      </c>
      <c r="L435" s="85">
        <f t="shared" si="106"/>
        <v>9210.045097799308</v>
      </c>
      <c r="M435" s="86">
        <f t="shared" si="97"/>
        <v>3637.2046658336017</v>
      </c>
      <c r="N435" s="86">
        <f t="shared" si="98"/>
        <v>868.8417470213581</v>
      </c>
      <c r="O435" s="86">
        <f t="shared" si="99"/>
        <v>67788.64846491379</v>
      </c>
      <c r="P435" s="86">
        <f t="shared" si="100"/>
        <v>5762.035119517672</v>
      </c>
      <c r="Q435" s="86">
        <f t="shared" si="101"/>
        <v>16404.852928509135</v>
      </c>
      <c r="R435" s="86"/>
      <c r="S435" s="86">
        <f t="shared" si="93"/>
        <v>3070.6435728518736</v>
      </c>
      <c r="T435" s="87">
        <f t="shared" si="105"/>
        <v>93026.18008579247</v>
      </c>
      <c r="U435" s="85">
        <f t="shared" si="102"/>
        <v>19475.49650136101</v>
      </c>
      <c r="V435" s="61"/>
    </row>
    <row r="436" spans="1:22" s="60" customFormat="1" ht="19.5" customHeight="1">
      <c r="A436" s="106" t="s">
        <v>178</v>
      </c>
      <c r="B436" s="113" t="s">
        <v>79</v>
      </c>
      <c r="C436" s="81">
        <v>9</v>
      </c>
      <c r="D436" s="81" t="s">
        <v>34</v>
      </c>
      <c r="E436" s="82" t="s">
        <v>106</v>
      </c>
      <c r="F436" s="83" t="s">
        <v>107</v>
      </c>
      <c r="G436" s="83"/>
      <c r="H436" s="84">
        <f t="shared" si="95"/>
        <v>96531.4288227245</v>
      </c>
      <c r="I436" s="85">
        <f t="shared" si="106"/>
        <v>26331.116238701266</v>
      </c>
      <c r="J436" s="85">
        <f t="shared" si="106"/>
        <v>19653.549188147234</v>
      </c>
      <c r="K436" s="85">
        <f t="shared" si="106"/>
        <v>10426.100964256297</v>
      </c>
      <c r="L436" s="85">
        <f t="shared" si="106"/>
        <v>9210.045097799308</v>
      </c>
      <c r="M436" s="86">
        <f t="shared" si="97"/>
        <v>3832.055452237375</v>
      </c>
      <c r="N436" s="86">
        <f t="shared" si="98"/>
        <v>868.8417470213581</v>
      </c>
      <c r="O436" s="86">
        <f t="shared" si="99"/>
        <v>70321.70868816283</v>
      </c>
      <c r="P436" s="86">
        <f t="shared" si="100"/>
        <v>5977.34523849384</v>
      </c>
      <c r="Q436" s="86">
        <f t="shared" si="101"/>
        <v>17017.853502535407</v>
      </c>
      <c r="R436" s="86"/>
      <c r="S436" s="86">
        <f t="shared" si="93"/>
        <v>3214.52139353242</v>
      </c>
      <c r="T436" s="87">
        <f t="shared" si="105"/>
        <v>96531.4288227245</v>
      </c>
      <c r="U436" s="85">
        <f t="shared" si="102"/>
        <v>20232.374896067828</v>
      </c>
      <c r="V436" s="61"/>
    </row>
    <row r="437" spans="1:22" s="60" customFormat="1" ht="19.5" customHeight="1">
      <c r="A437" s="81" t="s">
        <v>178</v>
      </c>
      <c r="B437" s="113" t="s">
        <v>79</v>
      </c>
      <c r="C437" s="81">
        <v>10</v>
      </c>
      <c r="D437" s="81" t="s">
        <v>34</v>
      </c>
      <c r="E437" s="82" t="s">
        <v>108</v>
      </c>
      <c r="F437" s="83" t="s">
        <v>109</v>
      </c>
      <c r="G437" s="83"/>
      <c r="H437" s="84">
        <f t="shared" si="95"/>
        <v>100036.65892443057</v>
      </c>
      <c r="I437" s="85">
        <f t="shared" si="106"/>
        <v>26331.116238701266</v>
      </c>
      <c r="J437" s="85">
        <f t="shared" si="106"/>
        <v>21991.746194188163</v>
      </c>
      <c r="K437" s="85">
        <f t="shared" si="106"/>
        <v>10426.100964256297</v>
      </c>
      <c r="L437" s="85">
        <f t="shared" si="106"/>
        <v>9210.045097799308</v>
      </c>
      <c r="M437" s="86">
        <f t="shared" si="97"/>
        <v>4026.9052027407856</v>
      </c>
      <c r="N437" s="86">
        <f t="shared" si="98"/>
        <v>868.8417470213581</v>
      </c>
      <c r="O437" s="86">
        <f t="shared" si="99"/>
        <v>72854.75544470717</v>
      </c>
      <c r="P437" s="86">
        <f t="shared" si="100"/>
        <v>6192.654212800109</v>
      </c>
      <c r="Q437" s="86">
        <f t="shared" si="101"/>
        <v>17630.850817619135</v>
      </c>
      <c r="R437" s="86"/>
      <c r="S437" s="86">
        <f t="shared" si="93"/>
        <v>3358.398449304139</v>
      </c>
      <c r="T437" s="87">
        <f t="shared" si="105"/>
        <v>100036.65892443057</v>
      </c>
      <c r="U437" s="85">
        <f t="shared" si="102"/>
        <v>20989.249266923274</v>
      </c>
      <c r="V437" s="61"/>
    </row>
    <row r="438" spans="1:22" s="60" customFormat="1" ht="19.5" customHeight="1">
      <c r="A438" s="106" t="s">
        <v>178</v>
      </c>
      <c r="B438" s="113" t="s">
        <v>79</v>
      </c>
      <c r="C438" s="81">
        <v>11</v>
      </c>
      <c r="D438" s="81" t="s">
        <v>34</v>
      </c>
      <c r="E438" s="82" t="s">
        <v>110</v>
      </c>
      <c r="F438" s="83" t="s">
        <v>111</v>
      </c>
      <c r="G438" s="83"/>
      <c r="H438" s="84">
        <f t="shared" si="95"/>
        <v>103541.9076613626</v>
      </c>
      <c r="I438" s="85">
        <f t="shared" si="106"/>
        <v>26331.116238701266</v>
      </c>
      <c r="J438" s="85">
        <f t="shared" si="106"/>
        <v>24329.955631033445</v>
      </c>
      <c r="K438" s="85">
        <f t="shared" si="106"/>
        <v>10426.100964256297</v>
      </c>
      <c r="L438" s="85">
        <f t="shared" si="106"/>
        <v>9210.045097799308</v>
      </c>
      <c r="M438" s="86">
        <f t="shared" si="97"/>
        <v>4221.755989144559</v>
      </c>
      <c r="N438" s="86">
        <f t="shared" si="98"/>
        <v>868.8417470213581</v>
      </c>
      <c r="O438" s="86">
        <f t="shared" si="99"/>
        <v>75387.81566795622</v>
      </c>
      <c r="P438" s="86">
        <f t="shared" si="100"/>
        <v>6407.964331776278</v>
      </c>
      <c r="Q438" s="86">
        <f t="shared" si="101"/>
        <v>18243.851391645403</v>
      </c>
      <c r="R438" s="86"/>
      <c r="S438" s="86">
        <f t="shared" si="93"/>
        <v>3502.276269984685</v>
      </c>
      <c r="T438" s="87">
        <f t="shared" si="105"/>
        <v>103541.9076613626</v>
      </c>
      <c r="U438" s="85">
        <f t="shared" si="102"/>
        <v>21746.12766163009</v>
      </c>
      <c r="V438" s="61"/>
    </row>
    <row r="439" spans="1:22" s="60" customFormat="1" ht="19.5" customHeight="1">
      <c r="A439" s="81" t="s">
        <v>178</v>
      </c>
      <c r="B439" s="113" t="s">
        <v>79</v>
      </c>
      <c r="C439" s="81">
        <v>12</v>
      </c>
      <c r="D439" s="81" t="s">
        <v>34</v>
      </c>
      <c r="E439" s="82" t="s">
        <v>112</v>
      </c>
      <c r="F439" s="83" t="s">
        <v>113</v>
      </c>
      <c r="G439" s="83"/>
      <c r="H439" s="84">
        <f t="shared" si="95"/>
        <v>107121.66776306868</v>
      </c>
      <c r="I439" s="85">
        <f t="shared" si="106"/>
        <v>26331.116238701266</v>
      </c>
      <c r="J439" s="85">
        <f t="shared" si="106"/>
        <v>26668.152637074374</v>
      </c>
      <c r="K439" s="85">
        <f t="shared" si="106"/>
        <v>10426.100964256297</v>
      </c>
      <c r="L439" s="85">
        <f t="shared" si="106"/>
        <v>9210.045097799308</v>
      </c>
      <c r="M439" s="86">
        <f t="shared" si="97"/>
        <v>4416.60573964797</v>
      </c>
      <c r="N439" s="86">
        <f t="shared" si="98"/>
        <v>868.8417470213581</v>
      </c>
      <c r="O439" s="86">
        <f t="shared" si="99"/>
        <v>77920.86242450058</v>
      </c>
      <c r="P439" s="86">
        <f t="shared" si="100"/>
        <v>6623.2733060825485</v>
      </c>
      <c r="Q439" s="86">
        <f t="shared" si="101"/>
        <v>18856.84870672914</v>
      </c>
      <c r="R439" s="86">
        <v>74.53</v>
      </c>
      <c r="S439" s="86">
        <f t="shared" si="93"/>
        <v>3646.1533257564033</v>
      </c>
      <c r="T439" s="87">
        <f t="shared" si="105"/>
        <v>107121.66776306868</v>
      </c>
      <c r="U439" s="85">
        <f t="shared" si="102"/>
        <v>22577.532032485542</v>
      </c>
      <c r="V439" s="61"/>
    </row>
    <row r="440" spans="1:22" s="60" customFormat="1" ht="19.5" customHeight="1">
      <c r="A440" s="106" t="s">
        <v>178</v>
      </c>
      <c r="B440" s="113" t="s">
        <v>79</v>
      </c>
      <c r="C440" s="81">
        <v>13</v>
      </c>
      <c r="D440" s="81" t="s">
        <v>34</v>
      </c>
      <c r="E440" s="82" t="s">
        <v>114</v>
      </c>
      <c r="F440" s="83" t="s">
        <v>115</v>
      </c>
      <c r="G440" s="83"/>
      <c r="H440" s="84">
        <f t="shared" si="95"/>
        <v>110722.2065000007</v>
      </c>
      <c r="I440" s="85">
        <f t="shared" si="106"/>
        <v>26331.116238701266</v>
      </c>
      <c r="J440" s="85">
        <f t="shared" si="106"/>
        <v>29006.36207391966</v>
      </c>
      <c r="K440" s="85">
        <f t="shared" si="106"/>
        <v>10426.100964256297</v>
      </c>
      <c r="L440" s="85">
        <f t="shared" si="106"/>
        <v>9210.045097799308</v>
      </c>
      <c r="M440" s="86">
        <f t="shared" si="97"/>
        <v>4611.456526051744</v>
      </c>
      <c r="N440" s="86">
        <f t="shared" si="98"/>
        <v>868.8417470213581</v>
      </c>
      <c r="O440" s="86">
        <f t="shared" si="99"/>
        <v>80453.92264774963</v>
      </c>
      <c r="P440" s="86">
        <f t="shared" si="100"/>
        <v>6838.583425058718</v>
      </c>
      <c r="Q440" s="86">
        <f t="shared" si="101"/>
        <v>19469.849280755407</v>
      </c>
      <c r="R440" s="86">
        <v>169.82</v>
      </c>
      <c r="S440" s="86">
        <f t="shared" si="93"/>
        <v>3790.0311464369497</v>
      </c>
      <c r="T440" s="87">
        <f t="shared" si="105"/>
        <v>110722.20650000071</v>
      </c>
      <c r="U440" s="85">
        <f t="shared" si="102"/>
        <v>23429.700427192358</v>
      </c>
      <c r="V440" s="61"/>
    </row>
    <row r="441" spans="1:22" s="60" customFormat="1" ht="19.5" customHeight="1" thickBot="1">
      <c r="A441" s="90" t="s">
        <v>178</v>
      </c>
      <c r="B441" s="119" t="s">
        <v>79</v>
      </c>
      <c r="C441" s="90">
        <v>14</v>
      </c>
      <c r="D441" s="90" t="s">
        <v>34</v>
      </c>
      <c r="E441" s="91" t="s">
        <v>116</v>
      </c>
      <c r="F441" s="92" t="s">
        <v>117</v>
      </c>
      <c r="G441" s="92"/>
      <c r="H441" s="93">
        <f t="shared" si="95"/>
        <v>114322.64660170679</v>
      </c>
      <c r="I441" s="94">
        <f t="shared" si="106"/>
        <v>26331.116238701266</v>
      </c>
      <c r="J441" s="94">
        <f t="shared" si="106"/>
        <v>31344.559079960592</v>
      </c>
      <c r="K441" s="94">
        <f t="shared" si="106"/>
        <v>10426.100964256297</v>
      </c>
      <c r="L441" s="94">
        <f t="shared" si="106"/>
        <v>9210.045097799308</v>
      </c>
      <c r="M441" s="94">
        <f t="shared" si="97"/>
        <v>4806.306276555155</v>
      </c>
      <c r="N441" s="94">
        <f t="shared" si="98"/>
        <v>868.8417470213581</v>
      </c>
      <c r="O441" s="94">
        <f t="shared" si="99"/>
        <v>82986.96940429398</v>
      </c>
      <c r="P441" s="94">
        <f t="shared" si="100"/>
        <v>7053.892399364988</v>
      </c>
      <c r="Q441" s="94">
        <f t="shared" si="101"/>
        <v>20082.846595839143</v>
      </c>
      <c r="R441" s="94">
        <v>265.03</v>
      </c>
      <c r="S441" s="94">
        <f t="shared" si="93"/>
        <v>3933.9082022086686</v>
      </c>
      <c r="T441" s="96">
        <f t="shared" si="105"/>
        <v>114322.64660170679</v>
      </c>
      <c r="U441" s="97">
        <f t="shared" si="102"/>
        <v>24281.78479804781</v>
      </c>
      <c r="V441" s="61"/>
    </row>
    <row r="442" spans="1:22" s="60" customFormat="1" ht="6.75" customHeight="1" thickBot="1" thickTop="1">
      <c r="A442" s="99"/>
      <c r="B442" s="99"/>
      <c r="C442" s="120"/>
      <c r="D442" s="99"/>
      <c r="E442" s="100"/>
      <c r="F442" s="101"/>
      <c r="G442" s="101"/>
      <c r="H442" s="102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5"/>
      <c r="U442" s="103"/>
      <c r="V442" s="61"/>
    </row>
    <row r="443" spans="1:22" s="60" customFormat="1" ht="30" customHeight="1" thickTop="1">
      <c r="A443" s="121" t="s">
        <v>8</v>
      </c>
      <c r="B443" s="122" t="s">
        <v>118</v>
      </c>
      <c r="C443" s="403" t="s">
        <v>179</v>
      </c>
      <c r="D443" s="404"/>
      <c r="E443" s="123" t="s">
        <v>120</v>
      </c>
      <c r="F443" s="124"/>
      <c r="G443" s="124"/>
      <c r="H443" s="110">
        <f t="shared" si="95"/>
        <v>41278.120843734556</v>
      </c>
      <c r="I443" s="88">
        <f aca="true" t="shared" si="107" ref="I443:L458">I362*1.0309</f>
        <v>17027.46221181595</v>
      </c>
      <c r="J443" s="88">
        <f t="shared" si="107"/>
        <v>0</v>
      </c>
      <c r="K443" s="88">
        <f t="shared" si="107"/>
        <v>7201.639817355634</v>
      </c>
      <c r="L443" s="88">
        <f t="shared" si="107"/>
        <v>3868.21894107571</v>
      </c>
      <c r="M443" s="111">
        <f t="shared" si="97"/>
        <v>1418.9551843179959</v>
      </c>
      <c r="N443" s="111">
        <f t="shared" si="98"/>
        <v>600.1366514463028</v>
      </c>
      <c r="O443" s="111">
        <f t="shared" si="99"/>
        <v>30116.41280601159</v>
      </c>
      <c r="P443" s="111">
        <f t="shared" si="100"/>
        <v>2559.8950885109853</v>
      </c>
      <c r="Q443" s="111">
        <f t="shared" si="101"/>
        <v>7288.171899054805</v>
      </c>
      <c r="R443" s="111"/>
      <c r="S443" s="111">
        <f t="shared" si="93"/>
        <v>1313.641050157178</v>
      </c>
      <c r="T443" s="112">
        <f t="shared" si="105"/>
        <v>41278.12084373456</v>
      </c>
      <c r="U443" s="88">
        <f t="shared" si="102"/>
        <v>8601.812949211982</v>
      </c>
      <c r="V443" s="61"/>
    </row>
    <row r="444" spans="1:22" s="60" customFormat="1" ht="19.5" customHeight="1">
      <c r="A444" s="125" t="s">
        <v>8</v>
      </c>
      <c r="B444" s="115" t="s">
        <v>123</v>
      </c>
      <c r="C444" s="115">
        <v>0</v>
      </c>
      <c r="D444" s="115" t="s">
        <v>31</v>
      </c>
      <c r="E444" s="116" t="s">
        <v>124</v>
      </c>
      <c r="F444" s="117" t="s">
        <v>125</v>
      </c>
      <c r="G444" s="117"/>
      <c r="H444" s="84">
        <f t="shared" si="95"/>
        <v>35399.92066148852</v>
      </c>
      <c r="I444" s="85">
        <f t="shared" si="107"/>
        <v>13792.549244616826</v>
      </c>
      <c r="J444" s="85">
        <f t="shared" si="107"/>
        <v>0</v>
      </c>
      <c r="K444" s="85">
        <f t="shared" si="107"/>
        <v>9577.785582919796</v>
      </c>
      <c r="L444" s="85">
        <f t="shared" si="107"/>
        <v>0</v>
      </c>
      <c r="M444" s="86">
        <f t="shared" si="97"/>
        <v>1149.3791037180688</v>
      </c>
      <c r="N444" s="86">
        <f t="shared" si="98"/>
        <v>798.1487985766497</v>
      </c>
      <c r="O444" s="86">
        <f t="shared" si="99"/>
        <v>25317.86272983134</v>
      </c>
      <c r="P444" s="86">
        <f t="shared" si="100"/>
        <v>2152.018332035664</v>
      </c>
      <c r="Q444" s="86">
        <f t="shared" si="101"/>
        <v>6126.922780619185</v>
      </c>
      <c r="R444" s="86">
        <f>(I444+J444)*18%*24.2%</f>
        <v>600.8034450955089</v>
      </c>
      <c r="S444" s="86">
        <f t="shared" si="93"/>
        <v>1202.3133739068207</v>
      </c>
      <c r="T444" s="87">
        <f t="shared" si="105"/>
        <v>35399.92066148852</v>
      </c>
      <c r="U444" s="85">
        <f t="shared" si="102"/>
        <v>7930.039599621515</v>
      </c>
      <c r="V444" s="61"/>
    </row>
    <row r="445" spans="1:22" s="60" customFormat="1" ht="19.5" customHeight="1">
      <c r="A445" s="125" t="s">
        <v>8</v>
      </c>
      <c r="B445" s="115" t="s">
        <v>123</v>
      </c>
      <c r="C445" s="115">
        <v>0</v>
      </c>
      <c r="D445" s="115" t="s">
        <v>34</v>
      </c>
      <c r="E445" s="116" t="s">
        <v>126</v>
      </c>
      <c r="F445" s="117" t="s">
        <v>127</v>
      </c>
      <c r="G445" s="117"/>
      <c r="H445" s="84">
        <f t="shared" si="95"/>
        <v>47830.155240105516</v>
      </c>
      <c r="I445" s="85">
        <f t="shared" si="107"/>
        <v>18807.98101457234</v>
      </c>
      <c r="J445" s="85">
        <f t="shared" si="107"/>
        <v>0</v>
      </c>
      <c r="K445" s="85">
        <f t="shared" si="107"/>
        <v>9834.954063336683</v>
      </c>
      <c r="L445" s="85">
        <f t="shared" si="107"/>
        <v>3868.217697995274</v>
      </c>
      <c r="M445" s="86">
        <f t="shared" si="97"/>
        <v>1567.3317512143615</v>
      </c>
      <c r="N445" s="86">
        <f t="shared" si="98"/>
        <v>819.5795052780569</v>
      </c>
      <c r="O445" s="86">
        <f t="shared" si="99"/>
        <v>34898.064032396716</v>
      </c>
      <c r="P445" s="86">
        <f t="shared" si="100"/>
        <v>2966.335442753721</v>
      </c>
      <c r="Q445" s="86">
        <f t="shared" si="101"/>
        <v>8445.331495840004</v>
      </c>
      <c r="R445" s="86"/>
      <c r="S445" s="86">
        <f t="shared" si="93"/>
        <v>1520.4242691150748</v>
      </c>
      <c r="T445" s="87">
        <f t="shared" si="105"/>
        <v>47830.15524010551</v>
      </c>
      <c r="U445" s="85">
        <f t="shared" si="102"/>
        <v>9965.75576495508</v>
      </c>
      <c r="V445" s="126"/>
    </row>
    <row r="446" spans="1:22" s="60" customFormat="1" ht="19.5" customHeight="1">
      <c r="A446" s="127" t="s">
        <v>8</v>
      </c>
      <c r="B446" s="81" t="s">
        <v>123</v>
      </c>
      <c r="C446" s="81">
        <v>1</v>
      </c>
      <c r="D446" s="81" t="s">
        <v>31</v>
      </c>
      <c r="E446" s="82" t="s">
        <v>128</v>
      </c>
      <c r="F446" s="83"/>
      <c r="G446" s="83"/>
      <c r="H446" s="84">
        <f t="shared" si="95"/>
        <v>37102.12230951801</v>
      </c>
      <c r="I446" s="85">
        <f t="shared" si="107"/>
        <v>13792.549244616826</v>
      </c>
      <c r="J446" s="85">
        <f t="shared" si="107"/>
        <v>1103.4079174267385</v>
      </c>
      <c r="K446" s="85">
        <f t="shared" si="107"/>
        <v>9577.785582919796</v>
      </c>
      <c r="L446" s="85">
        <f t="shared" si="107"/>
        <v>0</v>
      </c>
      <c r="M446" s="86">
        <f t="shared" si="97"/>
        <v>1241.3297635036304</v>
      </c>
      <c r="N446" s="86">
        <f t="shared" si="98"/>
        <v>798.1487985766497</v>
      </c>
      <c r="O446" s="86">
        <f t="shared" si="99"/>
        <v>26513.22130704364</v>
      </c>
      <c r="P446" s="86">
        <f t="shared" si="100"/>
        <v>2253.623811098709</v>
      </c>
      <c r="Q446" s="86">
        <f t="shared" si="101"/>
        <v>6416.199556304561</v>
      </c>
      <c r="R446" s="86">
        <f>(I446+J446)*18%*24.2%</f>
        <v>648.8678939786176</v>
      </c>
      <c r="S446" s="86">
        <f t="shared" si="93"/>
        <v>1270.2097410924794</v>
      </c>
      <c r="T446" s="87">
        <f t="shared" si="105"/>
        <v>37102.12230951801</v>
      </c>
      <c r="U446" s="85">
        <f t="shared" si="102"/>
        <v>8335.277191375659</v>
      </c>
      <c r="V446" s="61"/>
    </row>
    <row r="447" spans="1:22" s="60" customFormat="1" ht="19.5" customHeight="1">
      <c r="A447" s="127" t="s">
        <v>8</v>
      </c>
      <c r="B447" s="81" t="s">
        <v>123</v>
      </c>
      <c r="C447" s="81">
        <v>1</v>
      </c>
      <c r="D447" s="81" t="s">
        <v>34</v>
      </c>
      <c r="E447" s="82" t="s">
        <v>129</v>
      </c>
      <c r="F447" s="83" t="s">
        <v>130</v>
      </c>
      <c r="G447" s="83"/>
      <c r="H447" s="84">
        <f t="shared" si="95"/>
        <v>50941.29694394954</v>
      </c>
      <c r="I447" s="85">
        <f t="shared" si="107"/>
        <v>18807.98101457234</v>
      </c>
      <c r="J447" s="85">
        <f t="shared" si="107"/>
        <v>1504.6369894692652</v>
      </c>
      <c r="K447" s="85">
        <f t="shared" si="107"/>
        <v>9834.954063336683</v>
      </c>
      <c r="L447" s="85">
        <f t="shared" si="107"/>
        <v>4512.916504059702</v>
      </c>
      <c r="M447" s="86">
        <f t="shared" si="97"/>
        <v>1692.718167003467</v>
      </c>
      <c r="N447" s="86">
        <f t="shared" si="98"/>
        <v>819.5795052780569</v>
      </c>
      <c r="O447" s="86">
        <f t="shared" si="99"/>
        <v>37172.786243719514</v>
      </c>
      <c r="P447" s="86">
        <f t="shared" si="100"/>
        <v>3159.6868307161585</v>
      </c>
      <c r="Q447" s="86">
        <f t="shared" si="101"/>
        <v>8995.814270980121</v>
      </c>
      <c r="R447" s="86"/>
      <c r="S447" s="86">
        <f t="shared" si="93"/>
        <v>1613.00959853375</v>
      </c>
      <c r="T447" s="87">
        <f t="shared" si="105"/>
        <v>50941.29694394954</v>
      </c>
      <c r="U447" s="85">
        <f t="shared" si="102"/>
        <v>10608.823869513872</v>
      </c>
      <c r="V447" s="61"/>
    </row>
    <row r="448" spans="1:22" s="60" customFormat="1" ht="19.5" customHeight="1">
      <c r="A448" s="125" t="s">
        <v>8</v>
      </c>
      <c r="B448" s="115" t="s">
        <v>123</v>
      </c>
      <c r="C448" s="115">
        <v>2</v>
      </c>
      <c r="D448" s="115" t="s">
        <v>31</v>
      </c>
      <c r="E448" s="116" t="s">
        <v>131</v>
      </c>
      <c r="F448" s="117"/>
      <c r="G448" s="117"/>
      <c r="H448" s="84">
        <f t="shared" si="95"/>
        <v>38804.3239575475</v>
      </c>
      <c r="I448" s="85">
        <f t="shared" si="107"/>
        <v>13792.549244616826</v>
      </c>
      <c r="J448" s="85">
        <f t="shared" si="107"/>
        <v>2206.815834853477</v>
      </c>
      <c r="K448" s="85">
        <f t="shared" si="107"/>
        <v>9577.785582919796</v>
      </c>
      <c r="L448" s="85">
        <f t="shared" si="107"/>
        <v>0</v>
      </c>
      <c r="M448" s="86">
        <f t="shared" si="97"/>
        <v>1333.280423289192</v>
      </c>
      <c r="N448" s="86">
        <f t="shared" si="98"/>
        <v>798.1487985766497</v>
      </c>
      <c r="O448" s="86">
        <f t="shared" si="99"/>
        <v>27708.57988425594</v>
      </c>
      <c r="P448" s="86">
        <f t="shared" si="100"/>
        <v>2355.229290161755</v>
      </c>
      <c r="Q448" s="86">
        <f t="shared" si="101"/>
        <v>6705.4763319899375</v>
      </c>
      <c r="R448" s="86">
        <f>(I448+J448)*18%*24.2%</f>
        <v>696.9323428617263</v>
      </c>
      <c r="S448" s="86">
        <f t="shared" si="93"/>
        <v>1338.106108278138</v>
      </c>
      <c r="T448" s="87">
        <f t="shared" si="105"/>
        <v>38804.3239575475</v>
      </c>
      <c r="U448" s="85">
        <f t="shared" si="102"/>
        <v>8740.514783129802</v>
      </c>
      <c r="V448" s="61"/>
    </row>
    <row r="449" spans="1:22" s="60" customFormat="1" ht="19.5" customHeight="1">
      <c r="A449" s="127" t="s">
        <v>8</v>
      </c>
      <c r="B449" s="81" t="s">
        <v>123</v>
      </c>
      <c r="C449" s="81">
        <v>2</v>
      </c>
      <c r="D449" s="81" t="s">
        <v>34</v>
      </c>
      <c r="E449" s="82" t="s">
        <v>132</v>
      </c>
      <c r="F449" s="83" t="s">
        <v>133</v>
      </c>
      <c r="G449" s="83"/>
      <c r="H449" s="84">
        <f t="shared" si="95"/>
        <v>53196.92333214608</v>
      </c>
      <c r="I449" s="85">
        <f t="shared" si="107"/>
        <v>18807.98101457234</v>
      </c>
      <c r="J449" s="85">
        <f t="shared" si="107"/>
        <v>3009.2739789385305</v>
      </c>
      <c r="K449" s="85">
        <f t="shared" si="107"/>
        <v>9834.954063336683</v>
      </c>
      <c r="L449" s="85">
        <f t="shared" si="107"/>
        <v>4512.916504059702</v>
      </c>
      <c r="M449" s="86">
        <f t="shared" si="97"/>
        <v>1818.1045827925725</v>
      </c>
      <c r="N449" s="86">
        <f t="shared" si="98"/>
        <v>819.5795052780569</v>
      </c>
      <c r="O449" s="86">
        <f t="shared" si="99"/>
        <v>38802.80964897788</v>
      </c>
      <c r="P449" s="86">
        <f t="shared" si="100"/>
        <v>3298.2388201631197</v>
      </c>
      <c r="Q449" s="86">
        <f t="shared" si="101"/>
        <v>9390.279935052647</v>
      </c>
      <c r="R449" s="86"/>
      <c r="S449" s="86">
        <f t="shared" si="93"/>
        <v>1705.594927952426</v>
      </c>
      <c r="T449" s="87">
        <f t="shared" si="105"/>
        <v>53196.92333214608</v>
      </c>
      <c r="U449" s="85">
        <f t="shared" si="102"/>
        <v>11095.874863005074</v>
      </c>
      <c r="V449" s="61"/>
    </row>
    <row r="450" spans="1:22" s="60" customFormat="1" ht="19.5" customHeight="1">
      <c r="A450" s="127" t="s">
        <v>8</v>
      </c>
      <c r="B450" s="81" t="s">
        <v>123</v>
      </c>
      <c r="C450" s="81">
        <v>3</v>
      </c>
      <c r="D450" s="81" t="s">
        <v>31</v>
      </c>
      <c r="E450" s="82" t="s">
        <v>134</v>
      </c>
      <c r="F450" s="83"/>
      <c r="G450" s="83"/>
      <c r="H450" s="84">
        <f t="shared" si="95"/>
        <v>40506.525605576986</v>
      </c>
      <c r="I450" s="85">
        <f t="shared" si="107"/>
        <v>13792.549244616826</v>
      </c>
      <c r="J450" s="85">
        <f t="shared" si="107"/>
        <v>3310.223752280215</v>
      </c>
      <c r="K450" s="85">
        <f t="shared" si="107"/>
        <v>9577.785582919796</v>
      </c>
      <c r="L450" s="85">
        <f t="shared" si="107"/>
        <v>0</v>
      </c>
      <c r="M450" s="86">
        <f t="shared" si="97"/>
        <v>1425.2310830747535</v>
      </c>
      <c r="N450" s="86">
        <f t="shared" si="98"/>
        <v>798.1487985766497</v>
      </c>
      <c r="O450" s="86">
        <f t="shared" si="99"/>
        <v>28903.938461468242</v>
      </c>
      <c r="P450" s="86">
        <f t="shared" si="100"/>
        <v>2456.8347692248008</v>
      </c>
      <c r="Q450" s="86">
        <f t="shared" si="101"/>
        <v>6994.753107675314</v>
      </c>
      <c r="R450" s="86">
        <f>(I450+J450)*18%*24.2%</f>
        <v>744.996791744835</v>
      </c>
      <c r="S450" s="86">
        <f t="shared" si="93"/>
        <v>1406.0024754637966</v>
      </c>
      <c r="T450" s="87">
        <f t="shared" si="105"/>
        <v>40506.52560557699</v>
      </c>
      <c r="U450" s="85">
        <f t="shared" si="102"/>
        <v>9145.752374883945</v>
      </c>
      <c r="V450" s="61"/>
    </row>
    <row r="451" spans="1:22" s="60" customFormat="1" ht="19.5" customHeight="1">
      <c r="A451" s="127" t="s">
        <v>8</v>
      </c>
      <c r="B451" s="81" t="s">
        <v>123</v>
      </c>
      <c r="C451" s="81">
        <v>3</v>
      </c>
      <c r="D451" s="81" t="s">
        <v>34</v>
      </c>
      <c r="E451" s="82" t="s">
        <v>135</v>
      </c>
      <c r="F451" s="83" t="s">
        <v>136</v>
      </c>
      <c r="G451" s="83"/>
      <c r="H451" s="84">
        <f t="shared" si="95"/>
        <v>56308.08153166748</v>
      </c>
      <c r="I451" s="85">
        <f t="shared" si="107"/>
        <v>18807.98101457234</v>
      </c>
      <c r="J451" s="85">
        <f t="shared" si="107"/>
        <v>4513.910968407796</v>
      </c>
      <c r="K451" s="85">
        <f t="shared" si="107"/>
        <v>9834.954063336683</v>
      </c>
      <c r="L451" s="85">
        <f t="shared" si="107"/>
        <v>5157.627740928483</v>
      </c>
      <c r="M451" s="86">
        <f t="shared" si="97"/>
        <v>1943.4909985816778</v>
      </c>
      <c r="N451" s="86">
        <f t="shared" si="98"/>
        <v>819.5795052780569</v>
      </c>
      <c r="O451" s="86">
        <f t="shared" si="99"/>
        <v>41077.544291105034</v>
      </c>
      <c r="P451" s="86">
        <f t="shared" si="100"/>
        <v>3491.5912647439277</v>
      </c>
      <c r="Q451" s="86">
        <f t="shared" si="101"/>
        <v>9940.765718447417</v>
      </c>
      <c r="R451" s="86"/>
      <c r="S451" s="86">
        <f t="shared" si="93"/>
        <v>1798.1802573711013</v>
      </c>
      <c r="T451" s="87">
        <f t="shared" si="105"/>
        <v>56308.08153166748</v>
      </c>
      <c r="U451" s="85">
        <f t="shared" si="102"/>
        <v>11738.945975818518</v>
      </c>
      <c r="V451" s="61"/>
    </row>
    <row r="452" spans="1:22" s="60" customFormat="1" ht="19.5" customHeight="1">
      <c r="A452" s="127" t="s">
        <v>8</v>
      </c>
      <c r="B452" s="81" t="s">
        <v>123</v>
      </c>
      <c r="C452" s="81">
        <v>4</v>
      </c>
      <c r="D452" s="81" t="s">
        <v>31</v>
      </c>
      <c r="E452" s="82" t="s">
        <v>137</v>
      </c>
      <c r="F452" s="83" t="s">
        <v>138</v>
      </c>
      <c r="G452" s="83"/>
      <c r="H452" s="84">
        <f t="shared" si="95"/>
        <v>42208.727253606485</v>
      </c>
      <c r="I452" s="85">
        <f t="shared" si="107"/>
        <v>13792.549244616826</v>
      </c>
      <c r="J452" s="85">
        <f t="shared" si="107"/>
        <v>4413.631669706954</v>
      </c>
      <c r="K452" s="85">
        <f t="shared" si="107"/>
        <v>9577.785582919796</v>
      </c>
      <c r="L452" s="85">
        <f t="shared" si="107"/>
        <v>0</v>
      </c>
      <c r="M452" s="86">
        <f t="shared" si="97"/>
        <v>1517.1817428603151</v>
      </c>
      <c r="N452" s="86">
        <f t="shared" si="98"/>
        <v>798.1487985766497</v>
      </c>
      <c r="O452" s="86">
        <f t="shared" si="99"/>
        <v>30099.297038680543</v>
      </c>
      <c r="P452" s="86">
        <f t="shared" si="100"/>
        <v>2558.440248287846</v>
      </c>
      <c r="Q452" s="86">
        <f t="shared" si="101"/>
        <v>7284.029883360691</v>
      </c>
      <c r="R452" s="86">
        <f>(I452+J452)*18%*24.2%</f>
        <v>793.0612406279438</v>
      </c>
      <c r="S452" s="86">
        <f t="shared" si="93"/>
        <v>1473.8988426494554</v>
      </c>
      <c r="T452" s="87">
        <f t="shared" si="105"/>
        <v>42208.727253606485</v>
      </c>
      <c r="U452" s="85">
        <f t="shared" si="102"/>
        <v>9550.989966638092</v>
      </c>
      <c r="V452" s="61"/>
    </row>
    <row r="453" spans="1:22" s="60" customFormat="1" ht="19.5" customHeight="1">
      <c r="A453" s="127" t="s">
        <v>8</v>
      </c>
      <c r="B453" s="81" t="s">
        <v>123</v>
      </c>
      <c r="C453" s="81">
        <v>4</v>
      </c>
      <c r="D453" s="81" t="s">
        <v>34</v>
      </c>
      <c r="E453" s="82" t="s">
        <v>139</v>
      </c>
      <c r="F453" s="83" t="s">
        <v>140</v>
      </c>
      <c r="G453" s="83"/>
      <c r="H453" s="84">
        <f t="shared" si="95"/>
        <v>58563.70791986402</v>
      </c>
      <c r="I453" s="85">
        <f t="shared" si="107"/>
        <v>18807.98101457234</v>
      </c>
      <c r="J453" s="85">
        <f t="shared" si="107"/>
        <v>6018.547957877061</v>
      </c>
      <c r="K453" s="85">
        <f t="shared" si="107"/>
        <v>9834.954063336683</v>
      </c>
      <c r="L453" s="85">
        <f t="shared" si="107"/>
        <v>5157.627740928483</v>
      </c>
      <c r="M453" s="86">
        <f t="shared" si="97"/>
        <v>2068.8774143707833</v>
      </c>
      <c r="N453" s="86">
        <f t="shared" si="98"/>
        <v>819.5795052780569</v>
      </c>
      <c r="O453" s="86">
        <f t="shared" si="99"/>
        <v>42707.56769636341</v>
      </c>
      <c r="P453" s="86">
        <f t="shared" si="100"/>
        <v>3630.14325419089</v>
      </c>
      <c r="Q453" s="86">
        <f t="shared" si="101"/>
        <v>10335.231382519945</v>
      </c>
      <c r="R453" s="86"/>
      <c r="S453" s="86">
        <f t="shared" si="93"/>
        <v>1890.7655867897768</v>
      </c>
      <c r="T453" s="87">
        <f t="shared" si="105"/>
        <v>58563.70791986402</v>
      </c>
      <c r="U453" s="85">
        <f t="shared" si="102"/>
        <v>12225.996969309723</v>
      </c>
      <c r="V453" s="61"/>
    </row>
    <row r="454" spans="1:22" s="60" customFormat="1" ht="19.5" customHeight="1">
      <c r="A454" s="127" t="s">
        <v>8</v>
      </c>
      <c r="B454" s="81" t="s">
        <v>123</v>
      </c>
      <c r="C454" s="81">
        <v>5</v>
      </c>
      <c r="D454" s="81" t="s">
        <v>31</v>
      </c>
      <c r="E454" s="82" t="s">
        <v>141</v>
      </c>
      <c r="F454" s="83"/>
      <c r="G454" s="83"/>
      <c r="H454" s="84">
        <f t="shared" si="95"/>
        <v>43910.92890163597</v>
      </c>
      <c r="I454" s="85">
        <f t="shared" si="107"/>
        <v>13792.549244616826</v>
      </c>
      <c r="J454" s="85">
        <f t="shared" si="107"/>
        <v>5517.039587133692</v>
      </c>
      <c r="K454" s="85">
        <f t="shared" si="107"/>
        <v>9577.785582919796</v>
      </c>
      <c r="L454" s="85">
        <f t="shared" si="107"/>
        <v>0</v>
      </c>
      <c r="M454" s="86">
        <f t="shared" si="97"/>
        <v>1609.1324026458767</v>
      </c>
      <c r="N454" s="86">
        <f t="shared" si="98"/>
        <v>798.1487985766497</v>
      </c>
      <c r="O454" s="86">
        <f t="shared" si="99"/>
        <v>31294.655615892843</v>
      </c>
      <c r="P454" s="86">
        <f t="shared" si="100"/>
        <v>2660.045727350892</v>
      </c>
      <c r="Q454" s="86">
        <f t="shared" si="101"/>
        <v>7573.3066590460685</v>
      </c>
      <c r="R454" s="86">
        <f>(I454+J454)*18%*24.2%</f>
        <v>841.1256895110525</v>
      </c>
      <c r="S454" s="86">
        <f t="shared" si="93"/>
        <v>1541.7952098351138</v>
      </c>
      <c r="T454" s="87">
        <f t="shared" si="105"/>
        <v>43910.92890163597</v>
      </c>
      <c r="U454" s="85">
        <f t="shared" si="102"/>
        <v>9956.227558392235</v>
      </c>
      <c r="V454" s="61"/>
    </row>
    <row r="455" spans="1:22" s="60" customFormat="1" ht="19.5" customHeight="1">
      <c r="A455" s="127" t="s">
        <v>8</v>
      </c>
      <c r="B455" s="81" t="s">
        <v>123</v>
      </c>
      <c r="C455" s="81">
        <v>5</v>
      </c>
      <c r="D455" s="81" t="s">
        <v>34</v>
      </c>
      <c r="E455" s="82" t="s">
        <v>142</v>
      </c>
      <c r="F455" s="83" t="s">
        <v>143</v>
      </c>
      <c r="G455" s="83"/>
      <c r="H455" s="84">
        <f t="shared" si="95"/>
        <v>61674.84962370804</v>
      </c>
      <c r="I455" s="85">
        <f t="shared" si="107"/>
        <v>18807.98101457234</v>
      </c>
      <c r="J455" s="85">
        <f t="shared" si="107"/>
        <v>7523.184947346327</v>
      </c>
      <c r="K455" s="85">
        <f t="shared" si="107"/>
        <v>9834.954063336683</v>
      </c>
      <c r="L455" s="85">
        <f t="shared" si="107"/>
        <v>5802.326546992909</v>
      </c>
      <c r="M455" s="86">
        <f t="shared" si="97"/>
        <v>2194.2638301598886</v>
      </c>
      <c r="N455" s="86">
        <f t="shared" si="98"/>
        <v>819.5795052780569</v>
      </c>
      <c r="O455" s="86">
        <f t="shared" si="99"/>
        <v>44982.2899076862</v>
      </c>
      <c r="P455" s="86">
        <f t="shared" si="100"/>
        <v>3823.494642153327</v>
      </c>
      <c r="Q455" s="86">
        <f t="shared" si="101"/>
        <v>10885.71415766006</v>
      </c>
      <c r="R455" s="86"/>
      <c r="S455" s="86">
        <f t="shared" si="93"/>
        <v>1983.3509162084522</v>
      </c>
      <c r="T455" s="87">
        <f t="shared" si="105"/>
        <v>61674.84962370804</v>
      </c>
      <c r="U455" s="85">
        <f t="shared" si="102"/>
        <v>12869.065073868513</v>
      </c>
      <c r="V455" s="61"/>
    </row>
    <row r="456" spans="1:22" s="60" customFormat="1" ht="19.5" customHeight="1">
      <c r="A456" s="127" t="s">
        <v>8</v>
      </c>
      <c r="B456" s="81" t="s">
        <v>123</v>
      </c>
      <c r="C456" s="81">
        <v>6</v>
      </c>
      <c r="D456" s="81" t="s">
        <v>31</v>
      </c>
      <c r="E456" s="82" t="s">
        <v>144</v>
      </c>
      <c r="F456" s="83" t="s">
        <v>145</v>
      </c>
      <c r="G456" s="83"/>
      <c r="H456" s="84">
        <f t="shared" si="95"/>
        <v>45613.130549665446</v>
      </c>
      <c r="I456" s="85">
        <f t="shared" si="107"/>
        <v>13792.549244616826</v>
      </c>
      <c r="J456" s="85">
        <f t="shared" si="107"/>
        <v>6620.44750456043</v>
      </c>
      <c r="K456" s="85">
        <f t="shared" si="107"/>
        <v>9577.785582919796</v>
      </c>
      <c r="L456" s="85">
        <f t="shared" si="107"/>
        <v>0</v>
      </c>
      <c r="M456" s="86">
        <f t="shared" si="97"/>
        <v>1701.0830624314378</v>
      </c>
      <c r="N456" s="86">
        <f t="shared" si="98"/>
        <v>798.1487985766497</v>
      </c>
      <c r="O456" s="86">
        <f t="shared" si="99"/>
        <v>32490.014193105137</v>
      </c>
      <c r="P456" s="86">
        <f t="shared" si="100"/>
        <v>2761.6512064139365</v>
      </c>
      <c r="Q456" s="86">
        <f t="shared" si="101"/>
        <v>7862.583434731443</v>
      </c>
      <c r="R456" s="86">
        <f>(I456+J456)*18%*24.2%</f>
        <v>889.1901383941612</v>
      </c>
      <c r="S456" s="86">
        <f t="shared" si="93"/>
        <v>1609.6915770207725</v>
      </c>
      <c r="T456" s="87">
        <f t="shared" si="105"/>
        <v>45613.130549665446</v>
      </c>
      <c r="U456" s="85">
        <f t="shared" si="102"/>
        <v>10361.465150146376</v>
      </c>
      <c r="V456" s="61"/>
    </row>
    <row r="457" spans="1:22" s="60" customFormat="1" ht="19.5" customHeight="1">
      <c r="A457" s="127" t="s">
        <v>8</v>
      </c>
      <c r="B457" s="81" t="s">
        <v>123</v>
      </c>
      <c r="C457" s="81">
        <v>6</v>
      </c>
      <c r="D457" s="81" t="s">
        <v>34</v>
      </c>
      <c r="E457" s="82" t="s">
        <v>146</v>
      </c>
      <c r="F457" s="83" t="s">
        <v>147</v>
      </c>
      <c r="G457" s="83"/>
      <c r="H457" s="84">
        <f t="shared" si="95"/>
        <v>64786.00782322946</v>
      </c>
      <c r="I457" s="85">
        <f t="shared" si="107"/>
        <v>18807.98101457234</v>
      </c>
      <c r="J457" s="85">
        <f t="shared" si="107"/>
        <v>9027.821936815591</v>
      </c>
      <c r="K457" s="85">
        <f t="shared" si="107"/>
        <v>9834.954063336683</v>
      </c>
      <c r="L457" s="85">
        <f t="shared" si="107"/>
        <v>6447.03778386169</v>
      </c>
      <c r="M457" s="86">
        <f t="shared" si="97"/>
        <v>2319.6502459489943</v>
      </c>
      <c r="N457" s="86">
        <f t="shared" si="98"/>
        <v>819.5795052780569</v>
      </c>
      <c r="O457" s="86">
        <f t="shared" si="99"/>
        <v>47257.02454981336</v>
      </c>
      <c r="P457" s="86">
        <f t="shared" si="100"/>
        <v>4016.8470867341357</v>
      </c>
      <c r="Q457" s="86">
        <f t="shared" si="101"/>
        <v>11436.199941054832</v>
      </c>
      <c r="R457" s="86"/>
      <c r="S457" s="86">
        <f t="shared" si="93"/>
        <v>2075.9362456271274</v>
      </c>
      <c r="T457" s="87">
        <f t="shared" si="105"/>
        <v>64786.007823229455</v>
      </c>
      <c r="U457" s="85">
        <f t="shared" si="102"/>
        <v>13512.13618668196</v>
      </c>
      <c r="V457" s="61"/>
    </row>
    <row r="458" spans="1:22" s="60" customFormat="1" ht="19.5" customHeight="1">
      <c r="A458" s="127" t="s">
        <v>8</v>
      </c>
      <c r="B458" s="81" t="s">
        <v>123</v>
      </c>
      <c r="C458" s="81">
        <v>7</v>
      </c>
      <c r="D458" s="81" t="s">
        <v>34</v>
      </c>
      <c r="E458" s="82" t="s">
        <v>148</v>
      </c>
      <c r="F458" s="83" t="s">
        <v>149</v>
      </c>
      <c r="G458" s="83"/>
      <c r="H458" s="84">
        <f t="shared" si="95"/>
        <v>67289.76224538834</v>
      </c>
      <c r="I458" s="85">
        <f t="shared" si="107"/>
        <v>18807.98101457234</v>
      </c>
      <c r="J458" s="85">
        <f t="shared" si="107"/>
        <v>10697.97508622061</v>
      </c>
      <c r="K458" s="85">
        <f t="shared" si="107"/>
        <v>9834.954063336683</v>
      </c>
      <c r="L458" s="85">
        <f t="shared" si="107"/>
        <v>6447.03778386169</v>
      </c>
      <c r="M458" s="86">
        <f aca="true" t="shared" si="108" ref="M458:M465">(I458+J458)/12</f>
        <v>2458.829675066079</v>
      </c>
      <c r="N458" s="86">
        <f aca="true" t="shared" si="109" ref="N458:N465">K458/12</f>
        <v>819.5795052780569</v>
      </c>
      <c r="O458" s="86">
        <f t="shared" si="99"/>
        <v>49066.35712833546</v>
      </c>
      <c r="P458" s="86">
        <f aca="true" t="shared" si="110" ref="P458:P465">O458*8.5/100</f>
        <v>4170.640355908515</v>
      </c>
      <c r="Q458" s="86">
        <f aca="true" t="shared" si="111" ref="Q458:Q465">O458*24.2/100</f>
        <v>11874.058425057181</v>
      </c>
      <c r="R458" s="86"/>
      <c r="S458" s="86">
        <f aca="true" t="shared" si="112" ref="S458:S465">(I458+J458+M458)*80%*7.1%+(K458+N458)*80%*60%*7.1%</f>
        <v>2178.7063360871825</v>
      </c>
      <c r="T458" s="87">
        <f t="shared" si="105"/>
        <v>67289.76224538834</v>
      </c>
      <c r="U458" s="85">
        <f t="shared" si="102"/>
        <v>14052.764761144364</v>
      </c>
      <c r="V458" s="61"/>
    </row>
    <row r="459" spans="1:22" s="60" customFormat="1" ht="19.5" customHeight="1">
      <c r="A459" s="127" t="s">
        <v>8</v>
      </c>
      <c r="B459" s="81" t="s">
        <v>123</v>
      </c>
      <c r="C459" s="81">
        <v>8</v>
      </c>
      <c r="D459" s="81" t="s">
        <v>34</v>
      </c>
      <c r="E459" s="82" t="s">
        <v>150</v>
      </c>
      <c r="F459" s="83" t="s">
        <v>151</v>
      </c>
      <c r="G459" s="83"/>
      <c r="H459" s="84">
        <f aca="true" t="shared" si="113" ref="H459:H464">O459+P459+U459</f>
        <v>69793.51666754721</v>
      </c>
      <c r="I459" s="85">
        <f aca="true" t="shared" si="114" ref="I459:L465">I378*1.0309</f>
        <v>18807.98101457234</v>
      </c>
      <c r="J459" s="85">
        <f t="shared" si="114"/>
        <v>12368.128235625622</v>
      </c>
      <c r="K459" s="85">
        <f t="shared" si="114"/>
        <v>9834.954063336683</v>
      </c>
      <c r="L459" s="85">
        <f t="shared" si="114"/>
        <v>6447.03778386169</v>
      </c>
      <c r="M459" s="86">
        <f t="shared" si="108"/>
        <v>2598.0091041831633</v>
      </c>
      <c r="N459" s="86">
        <f t="shared" si="109"/>
        <v>819.5795052780569</v>
      </c>
      <c r="O459" s="86">
        <f aca="true" t="shared" si="115" ref="O459:O465">SUM(I459:N459)</f>
        <v>50875.689706857556</v>
      </c>
      <c r="P459" s="86">
        <f t="shared" si="110"/>
        <v>4324.433625082892</v>
      </c>
      <c r="Q459" s="86">
        <f t="shared" si="111"/>
        <v>12311.916909059528</v>
      </c>
      <c r="R459" s="86"/>
      <c r="S459" s="86">
        <f t="shared" si="112"/>
        <v>2281.4764265472377</v>
      </c>
      <c r="T459" s="87">
        <f t="shared" si="105"/>
        <v>69793.51666754721</v>
      </c>
      <c r="U459" s="85">
        <f aca="true" t="shared" si="116" ref="U459:U465">Q459+R459+S459</f>
        <v>14593.393335606765</v>
      </c>
      <c r="V459" s="61"/>
    </row>
    <row r="460" spans="1:22" s="60" customFormat="1" ht="19.5" customHeight="1">
      <c r="A460" s="127" t="s">
        <v>8</v>
      </c>
      <c r="B460" s="81" t="s">
        <v>123</v>
      </c>
      <c r="C460" s="81">
        <v>9</v>
      </c>
      <c r="D460" s="81" t="s">
        <v>34</v>
      </c>
      <c r="E460" s="82" t="s">
        <v>152</v>
      </c>
      <c r="F460" s="83" t="s">
        <v>153</v>
      </c>
      <c r="G460" s="83"/>
      <c r="H460" s="84">
        <f t="shared" si="113"/>
        <v>72297.25245448013</v>
      </c>
      <c r="I460" s="85">
        <f t="shared" si="114"/>
        <v>18807.98101457234</v>
      </c>
      <c r="J460" s="85">
        <f t="shared" si="114"/>
        <v>14038.268954226292</v>
      </c>
      <c r="K460" s="85">
        <f t="shared" si="114"/>
        <v>9834.954063336683</v>
      </c>
      <c r="L460" s="85">
        <f t="shared" si="114"/>
        <v>6447.03778386169</v>
      </c>
      <c r="M460" s="86">
        <f t="shared" si="108"/>
        <v>2737.1874973998856</v>
      </c>
      <c r="N460" s="86">
        <f t="shared" si="109"/>
        <v>819.5795052780569</v>
      </c>
      <c r="O460" s="86">
        <f t="shared" si="115"/>
        <v>52685.00881867495</v>
      </c>
      <c r="P460" s="86">
        <f t="shared" si="110"/>
        <v>4478.225749587371</v>
      </c>
      <c r="Q460" s="86">
        <f t="shared" si="111"/>
        <v>12749.772134119337</v>
      </c>
      <c r="R460" s="86"/>
      <c r="S460" s="86">
        <f t="shared" si="112"/>
        <v>2384.245752098466</v>
      </c>
      <c r="T460" s="87">
        <f t="shared" si="105"/>
        <v>72297.25245448011</v>
      </c>
      <c r="U460" s="85">
        <f t="shared" si="116"/>
        <v>15134.017886217804</v>
      </c>
      <c r="V460" s="61"/>
    </row>
    <row r="461" spans="1:22" s="60" customFormat="1" ht="19.5" customHeight="1">
      <c r="A461" s="125" t="s">
        <v>8</v>
      </c>
      <c r="B461" s="115" t="s">
        <v>123</v>
      </c>
      <c r="C461" s="115">
        <v>10</v>
      </c>
      <c r="D461" s="115" t="s">
        <v>34</v>
      </c>
      <c r="E461" s="116" t="s">
        <v>154</v>
      </c>
      <c r="F461" s="117" t="s">
        <v>155</v>
      </c>
      <c r="G461" s="117"/>
      <c r="H461" s="84">
        <f t="shared" si="113"/>
        <v>74801.006876639</v>
      </c>
      <c r="I461" s="85">
        <f t="shared" si="114"/>
        <v>18807.98101457234</v>
      </c>
      <c r="J461" s="85">
        <f t="shared" si="114"/>
        <v>15708.422103631307</v>
      </c>
      <c r="K461" s="85">
        <f t="shared" si="114"/>
        <v>9834.954063336683</v>
      </c>
      <c r="L461" s="85">
        <f t="shared" si="114"/>
        <v>6447.03778386169</v>
      </c>
      <c r="M461" s="86">
        <f t="shared" si="108"/>
        <v>2876.36692651697</v>
      </c>
      <c r="N461" s="86">
        <f t="shared" si="109"/>
        <v>819.5795052780569</v>
      </c>
      <c r="O461" s="86">
        <f t="shared" si="115"/>
        <v>54494.341397197044</v>
      </c>
      <c r="P461" s="86">
        <f t="shared" si="110"/>
        <v>4632.019018761748</v>
      </c>
      <c r="Q461" s="86">
        <f t="shared" si="111"/>
        <v>13187.630618121684</v>
      </c>
      <c r="R461" s="86"/>
      <c r="S461" s="86">
        <f t="shared" si="112"/>
        <v>2487.0158425585214</v>
      </c>
      <c r="T461" s="87">
        <f t="shared" si="105"/>
        <v>74801.006876639</v>
      </c>
      <c r="U461" s="85">
        <f t="shared" si="116"/>
        <v>15674.646460680206</v>
      </c>
      <c r="V461" s="61"/>
    </row>
    <row r="462" spans="1:22" s="60" customFormat="1" ht="19.5" customHeight="1">
      <c r="A462" s="127" t="s">
        <v>8</v>
      </c>
      <c r="B462" s="81" t="s">
        <v>123</v>
      </c>
      <c r="C462" s="81">
        <v>11</v>
      </c>
      <c r="D462" s="81" t="s">
        <v>34</v>
      </c>
      <c r="E462" s="82" t="s">
        <v>156</v>
      </c>
      <c r="F462" s="83" t="s">
        <v>157</v>
      </c>
      <c r="G462" s="83"/>
      <c r="H462" s="84">
        <f t="shared" si="113"/>
        <v>77319.7812987979</v>
      </c>
      <c r="I462" s="85">
        <f t="shared" si="114"/>
        <v>18807.98101457234</v>
      </c>
      <c r="J462" s="85">
        <f t="shared" si="114"/>
        <v>17378.575253036324</v>
      </c>
      <c r="K462" s="85">
        <f t="shared" si="114"/>
        <v>9834.954063336683</v>
      </c>
      <c r="L462" s="85">
        <f t="shared" si="114"/>
        <v>6447.03778386169</v>
      </c>
      <c r="M462" s="86">
        <f t="shared" si="108"/>
        <v>3015.546355634055</v>
      </c>
      <c r="N462" s="86">
        <f t="shared" si="109"/>
        <v>819.5795052780569</v>
      </c>
      <c r="O462" s="86">
        <f t="shared" si="115"/>
        <v>56303.67397571915</v>
      </c>
      <c r="P462" s="86">
        <f t="shared" si="110"/>
        <v>4785.812287936128</v>
      </c>
      <c r="Q462" s="86">
        <f t="shared" si="111"/>
        <v>13625.489102124035</v>
      </c>
      <c r="R462" s="86">
        <v>15.02</v>
      </c>
      <c r="S462" s="86">
        <f t="shared" si="112"/>
        <v>2589.7859330185765</v>
      </c>
      <c r="T462" s="87">
        <f>O462+P462+Q462+R462+S462</f>
        <v>77319.7812987979</v>
      </c>
      <c r="U462" s="85">
        <f t="shared" si="116"/>
        <v>16230.295035142612</v>
      </c>
      <c r="V462" s="61"/>
    </row>
    <row r="463" spans="1:22" s="60" customFormat="1" ht="19.5" customHeight="1">
      <c r="A463" s="127" t="s">
        <v>8</v>
      </c>
      <c r="B463" s="81" t="s">
        <v>123</v>
      </c>
      <c r="C463" s="81">
        <v>12</v>
      </c>
      <c r="D463" s="81" t="s">
        <v>34</v>
      </c>
      <c r="E463" s="82" t="s">
        <v>158</v>
      </c>
      <c r="F463" s="83" t="s">
        <v>159</v>
      </c>
      <c r="G463" s="83"/>
      <c r="H463" s="84">
        <f t="shared" si="113"/>
        <v>79891.55708573079</v>
      </c>
      <c r="I463" s="85">
        <f t="shared" si="114"/>
        <v>18807.98101457234</v>
      </c>
      <c r="J463" s="85">
        <f t="shared" si="114"/>
        <v>19048.715971636986</v>
      </c>
      <c r="K463" s="85">
        <f t="shared" si="114"/>
        <v>9834.954063336683</v>
      </c>
      <c r="L463" s="85">
        <f t="shared" si="114"/>
        <v>6447.03778386169</v>
      </c>
      <c r="M463" s="86">
        <f t="shared" si="108"/>
        <v>3154.724748850777</v>
      </c>
      <c r="N463" s="86">
        <f t="shared" si="109"/>
        <v>819.5795052780569</v>
      </c>
      <c r="O463" s="86">
        <f t="shared" si="115"/>
        <v>58112.99308753654</v>
      </c>
      <c r="P463" s="86">
        <f t="shared" si="110"/>
        <v>4939.604412440606</v>
      </c>
      <c r="Q463" s="86">
        <f t="shared" si="111"/>
        <v>14063.344327183842</v>
      </c>
      <c r="R463" s="86">
        <v>83.06</v>
      </c>
      <c r="S463" s="86">
        <f t="shared" si="112"/>
        <v>2692.5552585698038</v>
      </c>
      <c r="T463" s="87">
        <f>O463+P463+Q463+R463+S463</f>
        <v>79891.55708573079</v>
      </c>
      <c r="U463" s="85">
        <f t="shared" si="116"/>
        <v>16838.959585753644</v>
      </c>
      <c r="V463" s="61"/>
    </row>
    <row r="464" spans="1:22" s="60" customFormat="1" ht="19.5" customHeight="1">
      <c r="A464" s="127" t="s">
        <v>8</v>
      </c>
      <c r="B464" s="81" t="s">
        <v>123</v>
      </c>
      <c r="C464" s="81">
        <v>13</v>
      </c>
      <c r="D464" s="81" t="s">
        <v>34</v>
      </c>
      <c r="E464" s="82" t="s">
        <v>160</v>
      </c>
      <c r="F464" s="83" t="s">
        <v>161</v>
      </c>
      <c r="G464" s="83"/>
      <c r="H464" s="84">
        <f t="shared" si="113"/>
        <v>82463.32150788966</v>
      </c>
      <c r="I464" s="85">
        <f t="shared" si="114"/>
        <v>18807.98101457234</v>
      </c>
      <c r="J464" s="85">
        <f t="shared" si="114"/>
        <v>20718.869121042</v>
      </c>
      <c r="K464" s="85">
        <f t="shared" si="114"/>
        <v>9834.954063336683</v>
      </c>
      <c r="L464" s="85">
        <f t="shared" si="114"/>
        <v>6447.03778386169</v>
      </c>
      <c r="M464" s="86">
        <f t="shared" si="108"/>
        <v>3293.9041779678614</v>
      </c>
      <c r="N464" s="86">
        <f t="shared" si="109"/>
        <v>819.5795052780569</v>
      </c>
      <c r="O464" s="86">
        <f t="shared" si="115"/>
        <v>59922.325666058634</v>
      </c>
      <c r="P464" s="86">
        <f t="shared" si="110"/>
        <v>5093.397681614983</v>
      </c>
      <c r="Q464" s="86">
        <f t="shared" si="111"/>
        <v>14501.202811186187</v>
      </c>
      <c r="R464" s="86">
        <v>151.07</v>
      </c>
      <c r="S464" s="86">
        <f t="shared" si="112"/>
        <v>2795.3253490298594</v>
      </c>
      <c r="T464" s="87">
        <f>O464+P464+Q464+R464+S464</f>
        <v>82463.32150788966</v>
      </c>
      <c r="U464" s="85">
        <f t="shared" si="116"/>
        <v>17447.598160216046</v>
      </c>
      <c r="V464" s="61"/>
    </row>
    <row r="465" spans="1:22" s="60" customFormat="1" ht="19.5" customHeight="1" thickBot="1">
      <c r="A465" s="128" t="s">
        <v>8</v>
      </c>
      <c r="B465" s="90" t="s">
        <v>123</v>
      </c>
      <c r="C465" s="90">
        <v>14</v>
      </c>
      <c r="D465" s="90" t="s">
        <v>34</v>
      </c>
      <c r="E465" s="91" t="s">
        <v>162</v>
      </c>
      <c r="F465" s="92" t="s">
        <v>163</v>
      </c>
      <c r="G465" s="92"/>
      <c r="H465" s="129">
        <f>O465+P465+Q465+R465+S465</f>
        <v>85035.07593004857</v>
      </c>
      <c r="I465" s="94">
        <f t="shared" si="114"/>
        <v>18807.98101457234</v>
      </c>
      <c r="J465" s="94">
        <f t="shared" si="114"/>
        <v>22389.022270447018</v>
      </c>
      <c r="K465" s="94">
        <f t="shared" si="114"/>
        <v>9834.954063336683</v>
      </c>
      <c r="L465" s="94">
        <f t="shared" si="114"/>
        <v>6447.03778386169</v>
      </c>
      <c r="M465" s="94">
        <f t="shared" si="108"/>
        <v>3433.083607084946</v>
      </c>
      <c r="N465" s="94">
        <f t="shared" si="109"/>
        <v>819.5795052780569</v>
      </c>
      <c r="O465" s="94">
        <f t="shared" si="115"/>
        <v>61731.658244580736</v>
      </c>
      <c r="P465" s="94">
        <f t="shared" si="110"/>
        <v>5247.190950789363</v>
      </c>
      <c r="Q465" s="94">
        <f t="shared" si="111"/>
        <v>14939.061295188538</v>
      </c>
      <c r="R465" s="94">
        <v>219.07</v>
      </c>
      <c r="S465" s="94">
        <f t="shared" si="112"/>
        <v>2898.0954394899145</v>
      </c>
      <c r="T465" s="96">
        <f>O465+P465+Q465+R465+S465</f>
        <v>85035.07593004857</v>
      </c>
      <c r="U465" s="97">
        <f t="shared" si="116"/>
        <v>18056.22673467845</v>
      </c>
      <c r="V465" s="61"/>
    </row>
    <row r="466" spans="1:22" s="60" customFormat="1" ht="13.5" thickTop="1">
      <c r="A466" s="130"/>
      <c r="B466" s="130"/>
      <c r="C466" s="130"/>
      <c r="D466" s="130"/>
      <c r="M466" s="58"/>
      <c r="N466" s="58"/>
      <c r="O466" s="58"/>
      <c r="P466" s="58"/>
      <c r="Q466" s="58"/>
      <c r="R466" s="58"/>
      <c r="S466" s="58"/>
      <c r="T466" s="59"/>
      <c r="V466" s="61"/>
    </row>
    <row r="467" spans="1:22" s="60" customFormat="1" ht="0.75" customHeight="1" thickBot="1">
      <c r="A467" s="130"/>
      <c r="B467" s="130"/>
      <c r="C467" s="130"/>
      <c r="D467" s="130"/>
      <c r="M467" s="58"/>
      <c r="N467" s="58"/>
      <c r="O467" s="58"/>
      <c r="P467" s="58"/>
      <c r="Q467" s="58"/>
      <c r="R467" s="58"/>
      <c r="S467" s="58"/>
      <c r="T467" s="59"/>
      <c r="V467" s="61"/>
    </row>
    <row r="468" spans="1:22" s="60" customFormat="1" ht="33.75" customHeight="1" thickBot="1">
      <c r="A468" s="405" t="s">
        <v>275</v>
      </c>
      <c r="B468" s="406"/>
      <c r="C468" s="406"/>
      <c r="D468" s="406"/>
      <c r="E468" s="406"/>
      <c r="F468" s="406"/>
      <c r="G468" s="406"/>
      <c r="H468" s="406"/>
      <c r="I468" s="406"/>
      <c r="J468" s="406"/>
      <c r="K468" s="406"/>
      <c r="L468" s="406"/>
      <c r="M468" s="406"/>
      <c r="N468" s="406"/>
      <c r="O468" s="407"/>
      <c r="P468" s="407"/>
      <c r="Q468" s="407"/>
      <c r="R468" s="407"/>
      <c r="S468" s="407"/>
      <c r="T468" s="407"/>
      <c r="U468" s="408"/>
      <c r="V468" s="61"/>
    </row>
    <row r="469" spans="1:22" s="60" customFormat="1" ht="12.75">
      <c r="A469" s="130"/>
      <c r="B469" s="130"/>
      <c r="C469" s="130"/>
      <c r="D469" s="130"/>
      <c r="M469" s="58"/>
      <c r="N469" s="58"/>
      <c r="O469" s="58"/>
      <c r="P469" s="58"/>
      <c r="Q469" s="58"/>
      <c r="R469" s="58"/>
      <c r="S469" s="58"/>
      <c r="T469" s="59"/>
      <c r="V469" s="61"/>
    </row>
    <row r="470" spans="1:22" s="60" customFormat="1" ht="12.75">
      <c r="A470" s="130"/>
      <c r="B470" s="130"/>
      <c r="C470" s="130"/>
      <c r="D470" s="130"/>
      <c r="M470" s="58"/>
      <c r="N470" s="58"/>
      <c r="O470" s="58"/>
      <c r="P470" s="58"/>
      <c r="Q470" s="58"/>
      <c r="R470" s="58"/>
      <c r="S470" s="58"/>
      <c r="T470" s="59"/>
      <c r="V470" s="61"/>
    </row>
    <row r="471" spans="1:22" s="60" customFormat="1" ht="12.75">
      <c r="A471" s="130"/>
      <c r="B471" s="130"/>
      <c r="C471" s="130"/>
      <c r="D471" s="130"/>
      <c r="M471" s="58"/>
      <c r="N471" s="58"/>
      <c r="O471" s="58"/>
      <c r="P471" s="58"/>
      <c r="Q471" s="58"/>
      <c r="R471" s="58"/>
      <c r="S471" s="58"/>
      <c r="T471" s="59"/>
      <c r="V471" s="61"/>
    </row>
    <row r="472" spans="1:22" s="60" customFormat="1" ht="12.75">
      <c r="A472" s="130"/>
      <c r="B472" s="130"/>
      <c r="C472" s="130"/>
      <c r="D472" s="130"/>
      <c r="M472" s="58"/>
      <c r="N472" s="58"/>
      <c r="O472" s="58"/>
      <c r="P472" s="58"/>
      <c r="Q472" s="58"/>
      <c r="R472" s="58"/>
      <c r="S472" s="58"/>
      <c r="T472" s="59"/>
      <c r="V472" s="61"/>
    </row>
    <row r="473" spans="1:22" s="60" customFormat="1" ht="12.75">
      <c r="A473" s="130"/>
      <c r="B473" s="130"/>
      <c r="C473" s="130"/>
      <c r="D473" s="130"/>
      <c r="M473" s="58"/>
      <c r="N473" s="58"/>
      <c r="O473" s="58"/>
      <c r="P473" s="58"/>
      <c r="Q473" s="58"/>
      <c r="R473" s="58"/>
      <c r="S473" s="58"/>
      <c r="T473" s="59"/>
      <c r="V473" s="61"/>
    </row>
    <row r="474" spans="1:22" s="60" customFormat="1" ht="12.75">
      <c r="A474" s="130"/>
      <c r="B474" s="130"/>
      <c r="C474" s="130"/>
      <c r="D474" s="130"/>
      <c r="M474" s="58"/>
      <c r="N474" s="58"/>
      <c r="O474" s="58"/>
      <c r="P474" s="58"/>
      <c r="Q474" s="58"/>
      <c r="R474" s="58"/>
      <c r="S474" s="58"/>
      <c r="T474" s="59"/>
      <c r="V474" s="61"/>
    </row>
    <row r="475" spans="1:22" s="60" customFormat="1" ht="12.75">
      <c r="A475" s="130"/>
      <c r="B475" s="130"/>
      <c r="C475" s="130"/>
      <c r="D475" s="130"/>
      <c r="I475" s="320"/>
      <c r="M475" s="58"/>
      <c r="N475" s="58"/>
      <c r="O475" s="58"/>
      <c r="P475" s="58"/>
      <c r="Q475" s="58"/>
      <c r="R475" s="58"/>
      <c r="S475" s="58"/>
      <c r="T475" s="59"/>
      <c r="V475" s="61"/>
    </row>
    <row r="476" spans="1:22" s="60" customFormat="1" ht="12.75">
      <c r="A476" s="130"/>
      <c r="B476" s="130"/>
      <c r="C476" s="130"/>
      <c r="D476" s="130"/>
      <c r="M476" s="58"/>
      <c r="N476" s="58"/>
      <c r="O476" s="58"/>
      <c r="P476" s="58"/>
      <c r="Q476" s="58"/>
      <c r="R476" s="58"/>
      <c r="S476" s="58"/>
      <c r="T476" s="59"/>
      <c r="V476" s="61"/>
    </row>
    <row r="477" spans="1:22" s="60" customFormat="1" ht="12.75">
      <c r="A477" s="130"/>
      <c r="B477" s="130"/>
      <c r="C477" s="130"/>
      <c r="D477" s="130"/>
      <c r="M477" s="58"/>
      <c r="N477" s="58"/>
      <c r="O477" s="58"/>
      <c r="P477" s="58"/>
      <c r="Q477" s="58"/>
      <c r="R477" s="58"/>
      <c r="S477" s="58"/>
      <c r="T477" s="59"/>
      <c r="V477" s="61"/>
    </row>
    <row r="478" spans="1:22" s="60" customFormat="1" ht="12.75">
      <c r="A478" s="130"/>
      <c r="B478" s="130"/>
      <c r="C478" s="130"/>
      <c r="D478" s="130"/>
      <c r="M478" s="58"/>
      <c r="N478" s="58"/>
      <c r="O478" s="58"/>
      <c r="P478" s="58"/>
      <c r="Q478" s="58"/>
      <c r="R478" s="58"/>
      <c r="S478" s="58"/>
      <c r="T478" s="59"/>
      <c r="V478" s="61"/>
    </row>
    <row r="479" spans="1:22" s="60" customFormat="1" ht="12.75">
      <c r="A479" s="130"/>
      <c r="B479" s="130"/>
      <c r="C479" s="130"/>
      <c r="D479" s="130"/>
      <c r="M479" s="58"/>
      <c r="N479" s="58"/>
      <c r="O479" s="58"/>
      <c r="P479" s="58"/>
      <c r="Q479" s="58"/>
      <c r="R479" s="58"/>
      <c r="S479" s="58"/>
      <c r="T479" s="59"/>
      <c r="V479" s="61"/>
    </row>
    <row r="480" spans="1:22" s="60" customFormat="1" ht="12.75">
      <c r="A480" s="130"/>
      <c r="B480" s="130"/>
      <c r="C480" s="130"/>
      <c r="D480" s="130"/>
      <c r="M480" s="58"/>
      <c r="N480" s="58"/>
      <c r="O480" s="58"/>
      <c r="P480" s="58"/>
      <c r="Q480" s="58"/>
      <c r="R480" s="58"/>
      <c r="S480" s="58"/>
      <c r="T480" s="59"/>
      <c r="V480" s="61"/>
    </row>
    <row r="481" spans="1:22" s="60" customFormat="1" ht="12.75">
      <c r="A481" s="130"/>
      <c r="B481" s="130"/>
      <c r="C481" s="130"/>
      <c r="D481" s="130"/>
      <c r="M481" s="58"/>
      <c r="N481" s="58"/>
      <c r="O481" s="58"/>
      <c r="P481" s="58"/>
      <c r="Q481" s="58"/>
      <c r="R481" s="58"/>
      <c r="S481" s="58"/>
      <c r="T481" s="59"/>
      <c r="V481" s="61"/>
    </row>
    <row r="482" spans="1:22" s="60" customFormat="1" ht="12.75">
      <c r="A482" s="130"/>
      <c r="B482" s="130"/>
      <c r="C482" s="130"/>
      <c r="D482" s="130"/>
      <c r="M482" s="58"/>
      <c r="N482" s="58"/>
      <c r="O482" s="58"/>
      <c r="P482" s="58"/>
      <c r="Q482" s="58"/>
      <c r="R482" s="58"/>
      <c r="S482" s="58"/>
      <c r="T482" s="59"/>
      <c r="V482" s="61"/>
    </row>
    <row r="483" spans="1:22" s="60" customFormat="1" ht="12.75">
      <c r="A483" s="130"/>
      <c r="B483" s="130"/>
      <c r="C483" s="130"/>
      <c r="D483" s="130"/>
      <c r="M483" s="58"/>
      <c r="N483" s="58"/>
      <c r="O483" s="58"/>
      <c r="P483" s="58"/>
      <c r="Q483" s="58"/>
      <c r="R483" s="58"/>
      <c r="S483" s="58"/>
      <c r="T483" s="59"/>
      <c r="V483" s="61"/>
    </row>
    <row r="484" spans="1:22" s="60" customFormat="1" ht="12.75">
      <c r="A484" s="130"/>
      <c r="B484" s="130"/>
      <c r="C484" s="130"/>
      <c r="D484" s="130"/>
      <c r="M484" s="58"/>
      <c r="N484" s="58"/>
      <c r="O484" s="58"/>
      <c r="P484" s="58"/>
      <c r="Q484" s="58"/>
      <c r="R484" s="58"/>
      <c r="S484" s="58"/>
      <c r="T484" s="59"/>
      <c r="V484" s="61"/>
    </row>
    <row r="485" spans="1:22" s="60" customFormat="1" ht="12.75">
      <c r="A485" s="130"/>
      <c r="B485" s="130"/>
      <c r="C485" s="130"/>
      <c r="D485" s="130"/>
      <c r="M485" s="58"/>
      <c r="N485" s="58"/>
      <c r="O485" s="58"/>
      <c r="P485" s="58"/>
      <c r="Q485" s="58"/>
      <c r="R485" s="58"/>
      <c r="S485" s="58"/>
      <c r="T485" s="59"/>
      <c r="V485" s="61"/>
    </row>
    <row r="486" spans="1:22" s="60" customFormat="1" ht="12.75">
      <c r="A486" s="130"/>
      <c r="B486" s="130"/>
      <c r="C486" s="130"/>
      <c r="D486" s="130"/>
      <c r="M486" s="58"/>
      <c r="N486" s="58"/>
      <c r="O486" s="58"/>
      <c r="P486" s="58"/>
      <c r="Q486" s="58"/>
      <c r="R486" s="58"/>
      <c r="S486" s="58"/>
      <c r="T486" s="59"/>
      <c r="V486" s="61"/>
    </row>
    <row r="487" spans="1:22" s="60" customFormat="1" ht="12.75">
      <c r="A487" s="130"/>
      <c r="B487" s="130"/>
      <c r="C487" s="130"/>
      <c r="D487" s="130"/>
      <c r="M487" s="58"/>
      <c r="N487" s="58"/>
      <c r="O487" s="58"/>
      <c r="P487" s="58"/>
      <c r="Q487" s="58"/>
      <c r="R487" s="58"/>
      <c r="S487" s="58"/>
      <c r="T487" s="59"/>
      <c r="V487" s="61"/>
    </row>
    <row r="488" spans="1:22" s="60" customFormat="1" ht="12.75">
      <c r="A488" s="130"/>
      <c r="B488" s="130"/>
      <c r="C488" s="130"/>
      <c r="D488" s="130"/>
      <c r="M488" s="58"/>
      <c r="N488" s="58"/>
      <c r="O488" s="58"/>
      <c r="P488" s="58"/>
      <c r="Q488" s="58"/>
      <c r="R488" s="58"/>
      <c r="S488" s="58"/>
      <c r="T488" s="59"/>
      <c r="V488" s="61"/>
    </row>
    <row r="489" spans="1:22" s="60" customFormat="1" ht="12.75">
      <c r="A489" s="130"/>
      <c r="B489" s="130"/>
      <c r="C489" s="130"/>
      <c r="D489" s="130"/>
      <c r="M489" s="58"/>
      <c r="N489" s="58"/>
      <c r="O489" s="58"/>
      <c r="P489" s="58"/>
      <c r="Q489" s="58"/>
      <c r="R489" s="58"/>
      <c r="S489" s="58"/>
      <c r="T489" s="59"/>
      <c r="V489" s="61"/>
    </row>
    <row r="490" spans="1:22" s="60" customFormat="1" ht="12.75">
      <c r="A490" s="130"/>
      <c r="B490" s="130"/>
      <c r="C490" s="130"/>
      <c r="D490" s="130"/>
      <c r="M490" s="58"/>
      <c r="N490" s="58"/>
      <c r="O490" s="58"/>
      <c r="P490" s="58"/>
      <c r="Q490" s="58"/>
      <c r="R490" s="58"/>
      <c r="S490" s="58"/>
      <c r="T490" s="59"/>
      <c r="V490" s="61"/>
    </row>
    <row r="491" spans="1:22" s="60" customFormat="1" ht="12.75">
      <c r="A491" s="130"/>
      <c r="B491" s="130"/>
      <c r="C491" s="130"/>
      <c r="D491" s="130"/>
      <c r="M491" s="58"/>
      <c r="N491" s="58"/>
      <c r="O491" s="58"/>
      <c r="P491" s="58"/>
      <c r="Q491" s="58"/>
      <c r="R491" s="58"/>
      <c r="S491" s="58"/>
      <c r="T491" s="59"/>
      <c r="V491" s="61"/>
    </row>
    <row r="492" spans="1:22" s="60" customFormat="1" ht="12.75">
      <c r="A492" s="130"/>
      <c r="B492" s="130"/>
      <c r="C492" s="130"/>
      <c r="D492" s="130"/>
      <c r="M492" s="58"/>
      <c r="N492" s="58"/>
      <c r="O492" s="58"/>
      <c r="P492" s="58"/>
      <c r="Q492" s="58"/>
      <c r="R492" s="58"/>
      <c r="S492" s="58"/>
      <c r="T492" s="59"/>
      <c r="V492" s="61"/>
    </row>
    <row r="493" spans="1:22" s="60" customFormat="1" ht="12.75">
      <c r="A493" s="130"/>
      <c r="B493" s="130"/>
      <c r="C493" s="130"/>
      <c r="D493" s="130"/>
      <c r="M493" s="58"/>
      <c r="N493" s="58"/>
      <c r="O493" s="58"/>
      <c r="P493" s="58"/>
      <c r="Q493" s="58"/>
      <c r="R493" s="58"/>
      <c r="S493" s="58"/>
      <c r="T493" s="59"/>
      <c r="V493" s="61"/>
    </row>
    <row r="494" spans="1:22" s="60" customFormat="1" ht="12.75">
      <c r="A494" s="130"/>
      <c r="B494" s="130"/>
      <c r="C494" s="130"/>
      <c r="D494" s="130"/>
      <c r="M494" s="58"/>
      <c r="N494" s="58"/>
      <c r="O494" s="58"/>
      <c r="P494" s="58"/>
      <c r="Q494" s="58"/>
      <c r="R494" s="58"/>
      <c r="S494" s="58"/>
      <c r="T494" s="59"/>
      <c r="V494" s="61"/>
    </row>
    <row r="495" spans="1:22" s="60" customFormat="1" ht="12.75">
      <c r="A495" s="130"/>
      <c r="B495" s="130"/>
      <c r="C495" s="130"/>
      <c r="D495" s="130"/>
      <c r="M495" s="58"/>
      <c r="N495" s="58"/>
      <c r="O495" s="58"/>
      <c r="P495" s="58"/>
      <c r="Q495" s="58"/>
      <c r="R495" s="58"/>
      <c r="S495" s="58"/>
      <c r="T495" s="59"/>
      <c r="V495" s="61"/>
    </row>
    <row r="496" spans="1:22" s="60" customFormat="1" ht="12.75">
      <c r="A496" s="130"/>
      <c r="B496" s="130"/>
      <c r="C496" s="130"/>
      <c r="D496" s="130"/>
      <c r="M496" s="58"/>
      <c r="N496" s="58"/>
      <c r="O496" s="58"/>
      <c r="P496" s="58"/>
      <c r="Q496" s="58"/>
      <c r="R496" s="58"/>
      <c r="S496" s="58"/>
      <c r="T496" s="59"/>
      <c r="V496" s="61"/>
    </row>
    <row r="497" spans="1:22" s="60" customFormat="1" ht="12.75">
      <c r="A497" s="130"/>
      <c r="B497" s="130"/>
      <c r="C497" s="130"/>
      <c r="D497" s="130"/>
      <c r="M497" s="58"/>
      <c r="N497" s="58"/>
      <c r="O497" s="58"/>
      <c r="P497" s="58"/>
      <c r="Q497" s="58"/>
      <c r="R497" s="58"/>
      <c r="S497" s="58"/>
      <c r="T497" s="59"/>
      <c r="V497" s="61"/>
    </row>
    <row r="498" spans="1:22" s="60" customFormat="1" ht="12.75">
      <c r="A498" s="130"/>
      <c r="B498" s="130"/>
      <c r="C498" s="130"/>
      <c r="D498" s="130"/>
      <c r="M498" s="58"/>
      <c r="N498" s="58"/>
      <c r="O498" s="58"/>
      <c r="P498" s="58"/>
      <c r="Q498" s="58"/>
      <c r="R498" s="58"/>
      <c r="S498" s="58"/>
      <c r="T498" s="59"/>
      <c r="V498" s="61"/>
    </row>
    <row r="499" spans="1:22" s="60" customFormat="1" ht="12.75">
      <c r="A499" s="130"/>
      <c r="B499" s="130"/>
      <c r="C499" s="130"/>
      <c r="D499" s="130"/>
      <c r="M499" s="58"/>
      <c r="N499" s="58"/>
      <c r="O499" s="58"/>
      <c r="P499" s="58"/>
      <c r="Q499" s="58"/>
      <c r="R499" s="58"/>
      <c r="S499" s="58"/>
      <c r="T499" s="59"/>
      <c r="V499" s="61"/>
    </row>
    <row r="500" spans="1:22" s="60" customFormat="1" ht="12.75">
      <c r="A500" s="130"/>
      <c r="B500" s="130"/>
      <c r="C500" s="130"/>
      <c r="D500" s="130"/>
      <c r="M500" s="58"/>
      <c r="N500" s="58"/>
      <c r="O500" s="58"/>
      <c r="P500" s="58"/>
      <c r="Q500" s="58"/>
      <c r="R500" s="58"/>
      <c r="S500" s="58"/>
      <c r="T500" s="59"/>
      <c r="V500" s="61"/>
    </row>
    <row r="501" spans="1:22" s="60" customFormat="1" ht="12.75">
      <c r="A501" s="130"/>
      <c r="B501" s="130"/>
      <c r="C501" s="130"/>
      <c r="D501" s="130"/>
      <c r="M501" s="58"/>
      <c r="N501" s="58"/>
      <c r="O501" s="58"/>
      <c r="P501" s="58"/>
      <c r="Q501" s="58"/>
      <c r="R501" s="58"/>
      <c r="S501" s="58"/>
      <c r="T501" s="59"/>
      <c r="V501" s="61"/>
    </row>
    <row r="502" spans="1:22" s="60" customFormat="1" ht="12.75">
      <c r="A502" s="130"/>
      <c r="B502" s="130"/>
      <c r="C502" s="130"/>
      <c r="D502" s="130"/>
      <c r="M502" s="58"/>
      <c r="N502" s="58"/>
      <c r="O502" s="58"/>
      <c r="P502" s="58"/>
      <c r="Q502" s="58"/>
      <c r="R502" s="58"/>
      <c r="S502" s="58"/>
      <c r="T502" s="59"/>
      <c r="V502" s="61"/>
    </row>
    <row r="503" spans="1:22" s="60" customFormat="1" ht="12.75">
      <c r="A503" s="130"/>
      <c r="B503" s="130"/>
      <c r="C503" s="130"/>
      <c r="D503" s="130"/>
      <c r="M503" s="58"/>
      <c r="N503" s="58"/>
      <c r="O503" s="58"/>
      <c r="P503" s="58"/>
      <c r="Q503" s="58"/>
      <c r="R503" s="58"/>
      <c r="S503" s="58"/>
      <c r="T503" s="59"/>
      <c r="V503" s="61"/>
    </row>
    <row r="504" spans="1:22" s="60" customFormat="1" ht="12.75">
      <c r="A504" s="130"/>
      <c r="B504" s="130"/>
      <c r="C504" s="130"/>
      <c r="D504" s="130"/>
      <c r="M504" s="58"/>
      <c r="N504" s="58"/>
      <c r="O504" s="58"/>
      <c r="P504" s="58"/>
      <c r="Q504" s="58"/>
      <c r="R504" s="58"/>
      <c r="S504" s="58"/>
      <c r="T504" s="59"/>
      <c r="V504" s="61"/>
    </row>
    <row r="505" spans="1:22" s="60" customFormat="1" ht="12.75">
      <c r="A505" s="130"/>
      <c r="B505" s="130"/>
      <c r="C505" s="130"/>
      <c r="D505" s="130"/>
      <c r="M505" s="58"/>
      <c r="N505" s="58"/>
      <c r="O505" s="58"/>
      <c r="P505" s="58"/>
      <c r="Q505" s="58"/>
      <c r="R505" s="58"/>
      <c r="S505" s="58"/>
      <c r="T505" s="59"/>
      <c r="V505" s="61"/>
    </row>
    <row r="506" spans="1:22" s="60" customFormat="1" ht="12.75">
      <c r="A506" s="130"/>
      <c r="B506" s="130"/>
      <c r="C506" s="130"/>
      <c r="D506" s="130"/>
      <c r="M506" s="58"/>
      <c r="N506" s="58"/>
      <c r="O506" s="58"/>
      <c r="P506" s="58"/>
      <c r="Q506" s="58"/>
      <c r="R506" s="58"/>
      <c r="S506" s="58"/>
      <c r="T506" s="59"/>
      <c r="V506" s="61"/>
    </row>
    <row r="507" spans="1:22" s="60" customFormat="1" ht="12.75">
      <c r="A507" s="130"/>
      <c r="B507" s="130"/>
      <c r="C507" s="130"/>
      <c r="D507" s="130"/>
      <c r="M507" s="58"/>
      <c r="N507" s="58"/>
      <c r="O507" s="58"/>
      <c r="P507" s="58"/>
      <c r="Q507" s="58"/>
      <c r="R507" s="58"/>
      <c r="S507" s="58"/>
      <c r="T507" s="59"/>
      <c r="V507" s="61"/>
    </row>
    <row r="508" spans="1:22" s="60" customFormat="1" ht="12.75">
      <c r="A508" s="130"/>
      <c r="B508" s="130"/>
      <c r="C508" s="130"/>
      <c r="D508" s="130"/>
      <c r="M508" s="58"/>
      <c r="N508" s="58"/>
      <c r="O508" s="58"/>
      <c r="P508" s="58"/>
      <c r="Q508" s="58"/>
      <c r="R508" s="58"/>
      <c r="S508" s="58"/>
      <c r="T508" s="59"/>
      <c r="V508" s="61"/>
    </row>
    <row r="509" spans="1:22" s="60" customFormat="1" ht="12.75">
      <c r="A509" s="130"/>
      <c r="B509" s="130"/>
      <c r="C509" s="130"/>
      <c r="D509" s="130"/>
      <c r="M509" s="58"/>
      <c r="N509" s="58"/>
      <c r="O509" s="58"/>
      <c r="P509" s="58"/>
      <c r="Q509" s="58"/>
      <c r="R509" s="58"/>
      <c r="S509" s="58"/>
      <c r="T509" s="59"/>
      <c r="V509" s="61"/>
    </row>
    <row r="510" spans="1:22" s="60" customFormat="1" ht="12.75">
      <c r="A510" s="130"/>
      <c r="B510" s="130"/>
      <c r="C510" s="130"/>
      <c r="D510" s="130"/>
      <c r="M510" s="58"/>
      <c r="N510" s="58"/>
      <c r="O510" s="58"/>
      <c r="P510" s="58"/>
      <c r="Q510" s="58"/>
      <c r="R510" s="58"/>
      <c r="S510" s="58"/>
      <c r="T510" s="59"/>
      <c r="V510" s="61"/>
    </row>
    <row r="511" spans="1:22" s="60" customFormat="1" ht="12.75">
      <c r="A511" s="130"/>
      <c r="B511" s="130"/>
      <c r="C511" s="130"/>
      <c r="D511" s="130"/>
      <c r="M511" s="58"/>
      <c r="N511" s="58"/>
      <c r="O511" s="58"/>
      <c r="P511" s="58"/>
      <c r="Q511" s="58"/>
      <c r="R511" s="58"/>
      <c r="S511" s="58"/>
      <c r="T511" s="59"/>
      <c r="V511" s="61"/>
    </row>
    <row r="512" spans="1:22" s="60" customFormat="1" ht="12.75">
      <c r="A512" s="130"/>
      <c r="B512" s="130"/>
      <c r="C512" s="130"/>
      <c r="D512" s="130"/>
      <c r="M512" s="58"/>
      <c r="N512" s="58"/>
      <c r="O512" s="58"/>
      <c r="P512" s="58"/>
      <c r="Q512" s="58"/>
      <c r="R512" s="58"/>
      <c r="S512" s="58"/>
      <c r="T512" s="59"/>
      <c r="V512" s="61"/>
    </row>
    <row r="513" spans="1:22" s="60" customFormat="1" ht="12.75">
      <c r="A513" s="130"/>
      <c r="B513" s="130"/>
      <c r="C513" s="130"/>
      <c r="D513" s="130"/>
      <c r="M513" s="58"/>
      <c r="N513" s="58"/>
      <c r="O513" s="58"/>
      <c r="P513" s="58"/>
      <c r="Q513" s="58"/>
      <c r="R513" s="58"/>
      <c r="S513" s="58"/>
      <c r="T513" s="59"/>
      <c r="V513" s="61"/>
    </row>
    <row r="514" spans="1:22" s="60" customFormat="1" ht="12.75">
      <c r="A514" s="130"/>
      <c r="B514" s="130"/>
      <c r="C514" s="130"/>
      <c r="D514" s="130"/>
      <c r="M514" s="58"/>
      <c r="N514" s="58"/>
      <c r="O514" s="58"/>
      <c r="P514" s="58"/>
      <c r="Q514" s="58"/>
      <c r="R514" s="58"/>
      <c r="S514" s="58"/>
      <c r="T514" s="59"/>
      <c r="V514" s="61"/>
    </row>
    <row r="515" spans="1:22" s="60" customFormat="1" ht="12.75">
      <c r="A515" s="130"/>
      <c r="B515" s="130"/>
      <c r="C515" s="130"/>
      <c r="D515" s="130"/>
      <c r="M515" s="58"/>
      <c r="N515" s="58"/>
      <c r="O515" s="58"/>
      <c r="P515" s="58"/>
      <c r="Q515" s="58"/>
      <c r="R515" s="58"/>
      <c r="S515" s="58"/>
      <c r="T515" s="59"/>
      <c r="V515" s="61"/>
    </row>
    <row r="516" spans="1:22" s="60" customFormat="1" ht="12.75">
      <c r="A516" s="130"/>
      <c r="B516" s="130"/>
      <c r="C516" s="130"/>
      <c r="D516" s="130"/>
      <c r="M516" s="58"/>
      <c r="N516" s="58"/>
      <c r="O516" s="58"/>
      <c r="P516" s="58"/>
      <c r="Q516" s="58"/>
      <c r="R516" s="58"/>
      <c r="S516" s="58"/>
      <c r="T516" s="59"/>
      <c r="V516" s="61"/>
    </row>
    <row r="517" spans="1:22" s="60" customFormat="1" ht="12.75">
      <c r="A517" s="130"/>
      <c r="B517" s="130"/>
      <c r="C517" s="130"/>
      <c r="D517" s="130"/>
      <c r="M517" s="58"/>
      <c r="N517" s="58"/>
      <c r="O517" s="58"/>
      <c r="P517" s="58"/>
      <c r="Q517" s="58"/>
      <c r="R517" s="58"/>
      <c r="S517" s="58"/>
      <c r="T517" s="59"/>
      <c r="V517" s="61"/>
    </row>
    <row r="518" spans="1:22" s="60" customFormat="1" ht="12.75">
      <c r="A518" s="130"/>
      <c r="B518" s="130"/>
      <c r="C518" s="130"/>
      <c r="D518" s="130"/>
      <c r="M518" s="58"/>
      <c r="N518" s="58"/>
      <c r="O518" s="58"/>
      <c r="P518" s="58"/>
      <c r="Q518" s="58"/>
      <c r="R518" s="58"/>
      <c r="S518" s="58"/>
      <c r="T518" s="59"/>
      <c r="V518" s="61"/>
    </row>
    <row r="519" spans="1:22" s="60" customFormat="1" ht="12.75">
      <c r="A519" s="130"/>
      <c r="B519" s="130"/>
      <c r="C519" s="130"/>
      <c r="D519" s="130"/>
      <c r="M519" s="58"/>
      <c r="N519" s="58"/>
      <c r="O519" s="58"/>
      <c r="P519" s="58"/>
      <c r="Q519" s="58"/>
      <c r="R519" s="58"/>
      <c r="S519" s="58"/>
      <c r="T519" s="59"/>
      <c r="V519" s="61"/>
    </row>
    <row r="520" spans="1:22" s="60" customFormat="1" ht="12.75">
      <c r="A520" s="130"/>
      <c r="B520" s="130"/>
      <c r="C520" s="130"/>
      <c r="D520" s="130"/>
      <c r="M520" s="58"/>
      <c r="N520" s="58"/>
      <c r="O520" s="58"/>
      <c r="P520" s="58"/>
      <c r="Q520" s="58"/>
      <c r="R520" s="58"/>
      <c r="S520" s="58"/>
      <c r="T520" s="59"/>
      <c r="V520" s="61"/>
    </row>
    <row r="521" spans="1:22" s="60" customFormat="1" ht="12.75">
      <c r="A521" s="130"/>
      <c r="B521" s="130"/>
      <c r="C521" s="130"/>
      <c r="D521" s="130"/>
      <c r="M521" s="58"/>
      <c r="N521" s="58"/>
      <c r="O521" s="58"/>
      <c r="P521" s="58"/>
      <c r="Q521" s="58"/>
      <c r="R521" s="58"/>
      <c r="S521" s="58"/>
      <c r="T521" s="59"/>
      <c r="V521" s="61"/>
    </row>
    <row r="522" spans="1:22" s="60" customFormat="1" ht="12.75">
      <c r="A522" s="130"/>
      <c r="B522" s="130"/>
      <c r="C522" s="130"/>
      <c r="D522" s="130"/>
      <c r="M522" s="58"/>
      <c r="N522" s="58"/>
      <c r="O522" s="58"/>
      <c r="P522" s="58"/>
      <c r="Q522" s="58"/>
      <c r="R522" s="58"/>
      <c r="S522" s="58"/>
      <c r="T522" s="59"/>
      <c r="V522" s="61"/>
    </row>
    <row r="523" spans="1:22" s="60" customFormat="1" ht="12.75">
      <c r="A523" s="130"/>
      <c r="B523" s="130"/>
      <c r="C523" s="130"/>
      <c r="D523" s="130"/>
      <c r="M523" s="58"/>
      <c r="N523" s="58"/>
      <c r="O523" s="58"/>
      <c r="P523" s="58"/>
      <c r="Q523" s="58"/>
      <c r="R523" s="58"/>
      <c r="S523" s="58"/>
      <c r="T523" s="59"/>
      <c r="V523" s="61"/>
    </row>
    <row r="524" spans="1:22" s="60" customFormat="1" ht="12.75">
      <c r="A524" s="130"/>
      <c r="B524" s="130"/>
      <c r="C524" s="130"/>
      <c r="D524" s="130"/>
      <c r="M524" s="58"/>
      <c r="N524" s="58"/>
      <c r="O524" s="58"/>
      <c r="P524" s="58"/>
      <c r="Q524" s="58"/>
      <c r="R524" s="58"/>
      <c r="S524" s="58"/>
      <c r="T524" s="59"/>
      <c r="V524" s="61"/>
    </row>
    <row r="525" spans="1:22" s="60" customFormat="1" ht="12.75">
      <c r="A525" s="130"/>
      <c r="B525" s="130"/>
      <c r="C525" s="130"/>
      <c r="D525" s="130"/>
      <c r="M525" s="58"/>
      <c r="N525" s="58"/>
      <c r="O525" s="58"/>
      <c r="P525" s="58"/>
      <c r="Q525" s="58"/>
      <c r="R525" s="58"/>
      <c r="S525" s="58"/>
      <c r="T525" s="59"/>
      <c r="V525" s="61"/>
    </row>
    <row r="526" spans="1:22" s="60" customFormat="1" ht="12.75">
      <c r="A526" s="130"/>
      <c r="B526" s="130"/>
      <c r="C526" s="130"/>
      <c r="D526" s="130"/>
      <c r="M526" s="58"/>
      <c r="N526" s="58"/>
      <c r="O526" s="58"/>
      <c r="P526" s="58"/>
      <c r="Q526" s="58"/>
      <c r="R526" s="58"/>
      <c r="S526" s="58"/>
      <c r="T526" s="59"/>
      <c r="V526" s="61"/>
    </row>
    <row r="527" spans="1:22" s="60" customFormat="1" ht="12.75">
      <c r="A527" s="130"/>
      <c r="B527" s="130"/>
      <c r="C527" s="130"/>
      <c r="D527" s="130"/>
      <c r="M527" s="58"/>
      <c r="N527" s="58"/>
      <c r="O527" s="58"/>
      <c r="P527" s="58"/>
      <c r="Q527" s="58"/>
      <c r="R527" s="58"/>
      <c r="S527" s="58"/>
      <c r="T527" s="59"/>
      <c r="V527" s="61"/>
    </row>
    <row r="528" spans="1:22" s="60" customFormat="1" ht="12.75">
      <c r="A528" s="130"/>
      <c r="B528" s="130"/>
      <c r="C528" s="130"/>
      <c r="D528" s="130"/>
      <c r="M528" s="58"/>
      <c r="N528" s="58"/>
      <c r="O528" s="58"/>
      <c r="P528" s="58"/>
      <c r="Q528" s="58"/>
      <c r="R528" s="58"/>
      <c r="S528" s="58"/>
      <c r="T528" s="59"/>
      <c r="V528" s="61"/>
    </row>
    <row r="529" spans="1:22" s="60" customFormat="1" ht="12.75">
      <c r="A529" s="130"/>
      <c r="B529" s="130"/>
      <c r="C529" s="130"/>
      <c r="D529" s="130"/>
      <c r="M529" s="58"/>
      <c r="N529" s="58"/>
      <c r="O529" s="58"/>
      <c r="P529" s="58"/>
      <c r="Q529" s="58"/>
      <c r="R529" s="58"/>
      <c r="S529" s="58"/>
      <c r="T529" s="59"/>
      <c r="V529" s="61"/>
    </row>
    <row r="530" spans="1:22" s="60" customFormat="1" ht="12.75">
      <c r="A530" s="130"/>
      <c r="B530" s="130"/>
      <c r="C530" s="130"/>
      <c r="D530" s="130"/>
      <c r="M530" s="58"/>
      <c r="N530" s="58"/>
      <c r="O530" s="58"/>
      <c r="P530" s="58"/>
      <c r="Q530" s="58"/>
      <c r="R530" s="58"/>
      <c r="S530" s="58"/>
      <c r="T530" s="59"/>
      <c r="V530" s="61"/>
    </row>
    <row r="531" spans="1:22" s="60" customFormat="1" ht="12.75">
      <c r="A531" s="130"/>
      <c r="B531" s="130"/>
      <c r="C531" s="130"/>
      <c r="D531" s="130"/>
      <c r="M531" s="58"/>
      <c r="N531" s="58"/>
      <c r="O531" s="58"/>
      <c r="P531" s="58"/>
      <c r="Q531" s="58"/>
      <c r="R531" s="58"/>
      <c r="S531" s="58"/>
      <c r="T531" s="59"/>
      <c r="V531" s="61"/>
    </row>
  </sheetData>
  <sheetProtection/>
  <mergeCells count="3">
    <mergeCell ref="A389:L389"/>
    <mergeCell ref="C443:D443"/>
    <mergeCell ref="A468:U468"/>
  </mergeCells>
  <printOptions/>
  <pageMargins left="0.17" right="0.15" top="0.23" bottom="0.44" header="0.22" footer="0.21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PELLIN Alessandra</dc:creator>
  <cp:keywords/>
  <dc:description/>
  <cp:lastModifiedBy>BOSCAROL Agnese</cp:lastModifiedBy>
  <dcterms:created xsi:type="dcterms:W3CDTF">2015-11-25T07:48:58Z</dcterms:created>
  <dcterms:modified xsi:type="dcterms:W3CDTF">2018-03-15T11:21:53Z</dcterms:modified>
  <cp:category/>
  <cp:version/>
  <cp:contentType/>
  <cp:contentStatus/>
</cp:coreProperties>
</file>